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\Downloads\"/>
    </mc:Choice>
  </mc:AlternateContent>
  <xr:revisionPtr revIDLastSave="0" documentId="13_ncr:1_{1B28543C-2B0E-457F-A009-938354A1D6CD}" xr6:coauthVersionLast="47" xr6:coauthVersionMax="47" xr10:uidLastSave="{00000000-0000-0000-0000-000000000000}"/>
  <bookViews>
    <workbookView xWindow="-120" yWindow="-120" windowWidth="19440" windowHeight="15000" tabRatio="691" xr2:uid="{00000000-000D-0000-FFFF-FFFF00000000}"/>
  </bookViews>
  <sheets>
    <sheet name="Носители печати" sheetId="5" r:id="rId1"/>
  </sheets>
  <definedNames>
    <definedName name="_xlnm._FilterDatabase" localSheetId="0" hidden="1">'Носители печати'!$A$2:$L$179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5" l="1"/>
  <c r="E78" i="5"/>
  <c r="E77" i="5"/>
  <c r="D79" i="5"/>
  <c r="D78" i="5"/>
  <c r="D77" i="5"/>
  <c r="E75" i="5"/>
  <c r="G79" i="5"/>
  <c r="G78" i="5"/>
  <c r="G77" i="5"/>
  <c r="G76" i="5"/>
  <c r="E76" i="5"/>
  <c r="D76" i="5"/>
  <c r="D75" i="5"/>
  <c r="G75" i="5"/>
  <c r="E73" i="5"/>
  <c r="E72" i="5"/>
  <c r="E71" i="5"/>
  <c r="E70" i="5"/>
  <c r="D73" i="5"/>
  <c r="D72" i="5"/>
  <c r="D71" i="5"/>
  <c r="D70" i="5"/>
  <c r="G73" i="5"/>
  <c r="G72" i="5"/>
  <c r="G71" i="5"/>
  <c r="G70" i="5"/>
  <c r="G35" i="5"/>
  <c r="G34" i="5"/>
  <c r="G33" i="5"/>
  <c r="G68" i="5"/>
  <c r="E69" i="5"/>
  <c r="E68" i="5"/>
  <c r="D69" i="5"/>
  <c r="D68" i="5"/>
  <c r="G69" i="5"/>
  <c r="E65" i="5"/>
  <c r="E64" i="5"/>
  <c r="D65" i="5"/>
  <c r="D64" i="5"/>
  <c r="G65" i="5"/>
  <c r="G64" i="5"/>
  <c r="G61" i="5"/>
  <c r="E61" i="5"/>
  <c r="D61" i="5"/>
  <c r="E60" i="5"/>
  <c r="D60" i="5"/>
  <c r="G60" i="5"/>
  <c r="G67" i="5"/>
  <c r="E67" i="5"/>
  <c r="D67" i="5"/>
  <c r="E66" i="5"/>
  <c r="D66" i="5"/>
  <c r="G66" i="5"/>
  <c r="G63" i="5"/>
  <c r="E63" i="5"/>
  <c r="D63" i="5"/>
  <c r="G62" i="5"/>
  <c r="E62" i="5"/>
  <c r="D62" i="5"/>
  <c r="G59" i="5"/>
  <c r="E59" i="5"/>
  <c r="D59" i="5"/>
  <c r="G58" i="5"/>
  <c r="E58" i="5"/>
  <c r="D58" i="5"/>
  <c r="L58" i="5" l="1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5" i="5"/>
  <c r="L76" i="5"/>
  <c r="L77" i="5"/>
  <c r="L78" i="5"/>
  <c r="L79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5" i="5"/>
  <c r="K76" i="5"/>
  <c r="K77" i="5"/>
  <c r="K78" i="5"/>
  <c r="K79" i="5"/>
  <c r="J179" i="5" l="1"/>
  <c r="K156" i="5" l="1"/>
  <c r="K157" i="5"/>
  <c r="K158" i="5"/>
  <c r="K159" i="5"/>
  <c r="K167" i="5"/>
  <c r="K168" i="5"/>
  <c r="K169" i="5"/>
  <c r="K166" i="5"/>
  <c r="K162" i="5"/>
  <c r="K163" i="5"/>
  <c r="K164" i="5"/>
  <c r="K161" i="5"/>
  <c r="K128" i="5"/>
  <c r="K129" i="5"/>
  <c r="K130" i="5"/>
  <c r="K131" i="5"/>
  <c r="K132" i="5"/>
  <c r="K127" i="5"/>
  <c r="K96" i="5" l="1"/>
  <c r="K97" i="5"/>
  <c r="K98" i="5"/>
  <c r="K99" i="5"/>
  <c r="K100" i="5"/>
  <c r="K101" i="5"/>
  <c r="K103" i="5"/>
  <c r="K104" i="5"/>
  <c r="K105" i="5"/>
  <c r="K107" i="5"/>
  <c r="K108" i="5"/>
  <c r="K109" i="5"/>
  <c r="K110" i="5"/>
  <c r="K112" i="5"/>
  <c r="K114" i="5"/>
  <c r="K115" i="5"/>
  <c r="K116" i="5"/>
  <c r="K118" i="5"/>
  <c r="K120" i="5"/>
  <c r="K122" i="5"/>
  <c r="K124" i="5"/>
  <c r="K134" i="5"/>
  <c r="K135" i="5"/>
  <c r="K136" i="5"/>
  <c r="K137" i="5"/>
  <c r="K139" i="5"/>
  <c r="K140" i="5"/>
  <c r="K141" i="5"/>
  <c r="K142" i="5"/>
  <c r="K143" i="5"/>
  <c r="K145" i="5"/>
  <c r="K146" i="5"/>
  <c r="K147" i="5"/>
  <c r="K148" i="5"/>
  <c r="K149" i="5"/>
  <c r="K151" i="5"/>
  <c r="K153" i="5"/>
  <c r="K171" i="5"/>
  <c r="K173" i="5"/>
  <c r="K175" i="5"/>
  <c r="K178" i="5"/>
  <c r="G178" i="5" l="1"/>
  <c r="L178" i="5" s="1"/>
  <c r="G175" i="5"/>
  <c r="L175" i="5" s="1"/>
  <c r="G173" i="5"/>
  <c r="L173" i="5" s="1"/>
  <c r="G171" i="5"/>
  <c r="L171" i="5" s="1"/>
  <c r="G169" i="5"/>
  <c r="L169" i="5" s="1"/>
  <c r="G168" i="5"/>
  <c r="L168" i="5" s="1"/>
  <c r="G167" i="5"/>
  <c r="L167" i="5" s="1"/>
  <c r="G166" i="5"/>
  <c r="L166" i="5" s="1"/>
  <c r="G164" i="5"/>
  <c r="L164" i="5" s="1"/>
  <c r="G163" i="5"/>
  <c r="L163" i="5" s="1"/>
  <c r="G162" i="5"/>
  <c r="L162" i="5" s="1"/>
  <c r="G161" i="5"/>
  <c r="L161" i="5" s="1"/>
  <c r="G159" i="5"/>
  <c r="L159" i="5" s="1"/>
  <c r="G158" i="5"/>
  <c r="L158" i="5" s="1"/>
  <c r="G157" i="5"/>
  <c r="L157" i="5" s="1"/>
  <c r="G156" i="5"/>
  <c r="L156" i="5" s="1"/>
  <c r="G153" i="5"/>
  <c r="L153" i="5" s="1"/>
  <c r="G151" i="5"/>
  <c r="L151" i="5" s="1"/>
  <c r="G149" i="5"/>
  <c r="L149" i="5" s="1"/>
  <c r="G148" i="5"/>
  <c r="L148" i="5" s="1"/>
  <c r="G147" i="5"/>
  <c r="L147" i="5" s="1"/>
  <c r="G146" i="5"/>
  <c r="L146" i="5" s="1"/>
  <c r="G145" i="5"/>
  <c r="L145" i="5" s="1"/>
  <c r="G143" i="5"/>
  <c r="L143" i="5" s="1"/>
  <c r="G142" i="5"/>
  <c r="L142" i="5" s="1"/>
  <c r="G141" i="5"/>
  <c r="L141" i="5" s="1"/>
  <c r="G140" i="5"/>
  <c r="L140" i="5" s="1"/>
  <c r="G139" i="5"/>
  <c r="L139" i="5" s="1"/>
  <c r="G137" i="5"/>
  <c r="L137" i="5" s="1"/>
  <c r="G136" i="5"/>
  <c r="L136" i="5" s="1"/>
  <c r="G135" i="5"/>
  <c r="L135" i="5" s="1"/>
  <c r="G134" i="5"/>
  <c r="L134" i="5" s="1"/>
  <c r="G132" i="5"/>
  <c r="L132" i="5" s="1"/>
  <c r="G131" i="5"/>
  <c r="L131" i="5" s="1"/>
  <c r="G130" i="5"/>
  <c r="L130" i="5" s="1"/>
  <c r="G129" i="5"/>
  <c r="L129" i="5" s="1"/>
  <c r="G128" i="5"/>
  <c r="L128" i="5" s="1"/>
  <c r="G127" i="5"/>
  <c r="L127" i="5" s="1"/>
  <c r="G124" i="5"/>
  <c r="L124" i="5" s="1"/>
  <c r="G122" i="5"/>
  <c r="L122" i="5" s="1"/>
  <c r="G120" i="5"/>
  <c r="L120" i="5" s="1"/>
  <c r="G118" i="5"/>
  <c r="L118" i="5" s="1"/>
  <c r="G116" i="5"/>
  <c r="L116" i="5" s="1"/>
  <c r="G115" i="5"/>
  <c r="L115" i="5" s="1"/>
  <c r="G114" i="5"/>
  <c r="L114" i="5" s="1"/>
  <c r="G112" i="5"/>
  <c r="L112" i="5" s="1"/>
  <c r="G110" i="5"/>
  <c r="L110" i="5" s="1"/>
  <c r="G109" i="5"/>
  <c r="L109" i="5" s="1"/>
  <c r="G108" i="5"/>
  <c r="L108" i="5" s="1"/>
  <c r="G107" i="5"/>
  <c r="L107" i="5" s="1"/>
  <c r="G105" i="5"/>
  <c r="L105" i="5" s="1"/>
  <c r="G104" i="5"/>
  <c r="L104" i="5" s="1"/>
  <c r="G103" i="5"/>
  <c r="L103" i="5" s="1"/>
  <c r="G101" i="5"/>
  <c r="L101" i="5" s="1"/>
  <c r="G100" i="5"/>
  <c r="L100" i="5" s="1"/>
  <c r="G99" i="5"/>
  <c r="L99" i="5" s="1"/>
  <c r="G98" i="5"/>
  <c r="L98" i="5" s="1"/>
  <c r="G97" i="5"/>
  <c r="L97" i="5" s="1"/>
  <c r="G96" i="5"/>
  <c r="L96" i="5" s="1"/>
  <c r="G93" i="5"/>
  <c r="L93" i="5" s="1"/>
  <c r="E93" i="5"/>
  <c r="D93" i="5"/>
  <c r="K93" i="5" s="1"/>
  <c r="G92" i="5"/>
  <c r="L92" i="5" s="1"/>
  <c r="E92" i="5"/>
  <c r="D92" i="5"/>
  <c r="K92" i="5" s="1"/>
  <c r="G90" i="5"/>
  <c r="L90" i="5" s="1"/>
  <c r="E90" i="5"/>
  <c r="D90" i="5"/>
  <c r="K90" i="5" s="1"/>
  <c r="G89" i="5"/>
  <c r="L89" i="5" s="1"/>
  <c r="E89" i="5"/>
  <c r="D89" i="5"/>
  <c r="K89" i="5" s="1"/>
  <c r="G88" i="5"/>
  <c r="L88" i="5" s="1"/>
  <c r="E88" i="5"/>
  <c r="D88" i="5"/>
  <c r="K88" i="5" s="1"/>
  <c r="G87" i="5"/>
  <c r="L87" i="5" s="1"/>
  <c r="E87" i="5"/>
  <c r="D87" i="5"/>
  <c r="K87" i="5" s="1"/>
  <c r="G86" i="5"/>
  <c r="L86" i="5" s="1"/>
  <c r="E86" i="5"/>
  <c r="D86" i="5"/>
  <c r="K86" i="5" s="1"/>
  <c r="G85" i="5"/>
  <c r="L85" i="5" s="1"/>
  <c r="E85" i="5"/>
  <c r="D85" i="5"/>
  <c r="K85" i="5" s="1"/>
  <c r="G84" i="5"/>
  <c r="L84" i="5" s="1"/>
  <c r="E84" i="5"/>
  <c r="D84" i="5"/>
  <c r="K84" i="5" s="1"/>
  <c r="G83" i="5"/>
  <c r="L83" i="5" s="1"/>
  <c r="E83" i="5"/>
  <c r="D83" i="5"/>
  <c r="K83" i="5" s="1"/>
  <c r="G82" i="5"/>
  <c r="L82" i="5" s="1"/>
  <c r="E82" i="5"/>
  <c r="D82" i="5"/>
  <c r="K82" i="5" s="1"/>
  <c r="D5" i="5"/>
  <c r="K5" i="5" s="1"/>
  <c r="D6" i="5"/>
  <c r="K6" i="5" s="1"/>
  <c r="D7" i="5"/>
  <c r="K7" i="5" s="1"/>
  <c r="D8" i="5"/>
  <c r="K8" i="5" s="1"/>
  <c r="D10" i="5"/>
  <c r="K10" i="5" s="1"/>
  <c r="D11" i="5"/>
  <c r="D12" i="5"/>
  <c r="K12" i="5" s="1"/>
  <c r="D13" i="5"/>
  <c r="D14" i="5"/>
  <c r="K14" i="5" s="1"/>
  <c r="D16" i="5"/>
  <c r="K16" i="5" s="1"/>
  <c r="D17" i="5"/>
  <c r="K17" i="5" s="1"/>
  <c r="D18" i="5"/>
  <c r="K18" i="5" s="1"/>
  <c r="D19" i="5"/>
  <c r="K19" i="5" s="1"/>
  <c r="D20" i="5"/>
  <c r="K20" i="5" s="1"/>
  <c r="D22" i="5"/>
  <c r="K22" i="5" s="1"/>
  <c r="D23" i="5"/>
  <c r="K23" i="5" s="1"/>
  <c r="D25" i="5"/>
  <c r="K25" i="5" s="1"/>
  <c r="D26" i="5"/>
  <c r="K26" i="5" s="1"/>
  <c r="D28" i="5"/>
  <c r="K28" i="5" s="1"/>
  <c r="D29" i="5"/>
  <c r="K29" i="5" s="1"/>
  <c r="D30" i="5"/>
  <c r="K30" i="5" s="1"/>
  <c r="D31" i="5"/>
  <c r="K31" i="5" s="1"/>
  <c r="D33" i="5"/>
  <c r="K33" i="5" s="1"/>
  <c r="D34" i="5"/>
  <c r="K34" i="5" s="1"/>
  <c r="D35" i="5"/>
  <c r="K35" i="5" s="1"/>
  <c r="D37" i="5"/>
  <c r="K37" i="5" s="1"/>
  <c r="D38" i="5"/>
  <c r="K38" i="5" s="1"/>
  <c r="D39" i="5"/>
  <c r="K39" i="5" s="1"/>
  <c r="D40" i="5"/>
  <c r="K40" i="5" s="1"/>
  <c r="D41" i="5"/>
  <c r="K41" i="5" s="1"/>
  <c r="D42" i="5"/>
  <c r="K42" i="5" s="1"/>
  <c r="D44" i="5"/>
  <c r="K44" i="5" s="1"/>
  <c r="D45" i="5"/>
  <c r="K45" i="5" s="1"/>
  <c r="D46" i="5"/>
  <c r="K46" i="5" s="1"/>
  <c r="D47" i="5"/>
  <c r="K47" i="5" s="1"/>
  <c r="D48" i="5"/>
  <c r="K48" i="5" s="1"/>
  <c r="D49" i="5"/>
  <c r="K49" i="5" s="1"/>
  <c r="D51" i="5"/>
  <c r="K51" i="5" s="1"/>
  <c r="D52" i="5"/>
  <c r="K52" i="5" s="1"/>
  <c r="D53" i="5"/>
  <c r="K53" i="5" s="1"/>
  <c r="D54" i="5"/>
  <c r="K54" i="5" s="1"/>
  <c r="D55" i="5"/>
  <c r="K55" i="5" s="1"/>
  <c r="D56" i="5"/>
  <c r="K56" i="5" s="1"/>
  <c r="G56" i="5" l="1"/>
  <c r="L56" i="5" s="1"/>
  <c r="E56" i="5"/>
  <c r="G55" i="5"/>
  <c r="L55" i="5" s="1"/>
  <c r="E55" i="5"/>
  <c r="G54" i="5"/>
  <c r="L54" i="5" s="1"/>
  <c r="E54" i="5"/>
  <c r="G53" i="5"/>
  <c r="L53" i="5" s="1"/>
  <c r="E53" i="5"/>
  <c r="G52" i="5"/>
  <c r="L52" i="5" s="1"/>
  <c r="E52" i="5"/>
  <c r="G51" i="5"/>
  <c r="L51" i="5" s="1"/>
  <c r="E51" i="5"/>
  <c r="G49" i="5"/>
  <c r="L49" i="5" s="1"/>
  <c r="E49" i="5"/>
  <c r="G48" i="5"/>
  <c r="L48" i="5" s="1"/>
  <c r="E48" i="5"/>
  <c r="G47" i="5"/>
  <c r="L47" i="5" s="1"/>
  <c r="E47" i="5"/>
  <c r="G46" i="5"/>
  <c r="L46" i="5" s="1"/>
  <c r="E46" i="5"/>
  <c r="G45" i="5"/>
  <c r="L45" i="5" s="1"/>
  <c r="E45" i="5"/>
  <c r="G44" i="5"/>
  <c r="L44" i="5" s="1"/>
  <c r="E44" i="5"/>
  <c r="G42" i="5"/>
  <c r="L42" i="5" s="1"/>
  <c r="E42" i="5"/>
  <c r="G41" i="5"/>
  <c r="L41" i="5" s="1"/>
  <c r="E41" i="5"/>
  <c r="G40" i="5"/>
  <c r="L40" i="5" s="1"/>
  <c r="E40" i="5"/>
  <c r="G39" i="5"/>
  <c r="L39" i="5" s="1"/>
  <c r="E39" i="5"/>
  <c r="G38" i="5"/>
  <c r="L38" i="5" s="1"/>
  <c r="E38" i="5"/>
  <c r="G37" i="5"/>
  <c r="L37" i="5" s="1"/>
  <c r="E37" i="5"/>
  <c r="E33" i="5"/>
  <c r="E34" i="5"/>
  <c r="E35" i="5"/>
  <c r="L35" i="5"/>
  <c r="L34" i="5"/>
  <c r="L33" i="5"/>
  <c r="G31" i="5"/>
  <c r="L31" i="5" s="1"/>
  <c r="E31" i="5"/>
  <c r="G30" i="5"/>
  <c r="L30" i="5" s="1"/>
  <c r="E30" i="5"/>
  <c r="G29" i="5"/>
  <c r="L29" i="5" s="1"/>
  <c r="E29" i="5"/>
  <c r="G28" i="5"/>
  <c r="L28" i="5" s="1"/>
  <c r="E28" i="5"/>
  <c r="G26" i="5"/>
  <c r="L26" i="5" s="1"/>
  <c r="E26" i="5"/>
  <c r="G25" i="5"/>
  <c r="L25" i="5" s="1"/>
  <c r="E25" i="5"/>
  <c r="G23" i="5"/>
  <c r="L23" i="5" s="1"/>
  <c r="E23" i="5"/>
  <c r="G22" i="5"/>
  <c r="L22" i="5" s="1"/>
  <c r="E22" i="5"/>
  <c r="G20" i="5"/>
  <c r="L20" i="5" s="1"/>
  <c r="E20" i="5"/>
  <c r="G19" i="5"/>
  <c r="L19" i="5" s="1"/>
  <c r="E19" i="5"/>
  <c r="G18" i="5"/>
  <c r="L18" i="5" s="1"/>
  <c r="E18" i="5"/>
  <c r="G17" i="5"/>
  <c r="L17" i="5" s="1"/>
  <c r="E17" i="5"/>
  <c r="G16" i="5"/>
  <c r="L16" i="5" s="1"/>
  <c r="E16" i="5"/>
  <c r="G14" i="5"/>
  <c r="L14" i="5" s="1"/>
  <c r="E14" i="5"/>
  <c r="G13" i="5"/>
  <c r="L13" i="5" s="1"/>
  <c r="E13" i="5"/>
  <c r="K13" i="5" s="1"/>
  <c r="G12" i="5"/>
  <c r="L12" i="5" s="1"/>
  <c r="E12" i="5"/>
  <c r="G11" i="5"/>
  <c r="L11" i="5" s="1"/>
  <c r="E11" i="5"/>
  <c r="K11" i="5" s="1"/>
  <c r="G10" i="5"/>
  <c r="L10" i="5" s="1"/>
  <c r="E10" i="5"/>
  <c r="G8" i="5"/>
  <c r="L8" i="5" s="1"/>
  <c r="E8" i="5"/>
  <c r="G7" i="5"/>
  <c r="L7" i="5" s="1"/>
  <c r="E7" i="5"/>
  <c r="G6" i="5"/>
  <c r="L6" i="5" s="1"/>
  <c r="E6" i="5"/>
  <c r="G5" i="5"/>
  <c r="L5" i="5" s="1"/>
  <c r="E5" i="5"/>
  <c r="K179" i="5" l="1"/>
  <c r="L179" i="5"/>
</calcChain>
</file>

<file path=xl/sharedStrings.xml><?xml version="1.0" encoding="utf-8"?>
<sst xmlns="http://schemas.openxmlformats.org/spreadsheetml/2006/main" count="458" uniqueCount="343">
  <si>
    <t>Артикул</t>
  </si>
  <si>
    <t>Наименование</t>
  </si>
  <si>
    <t>ширина рулона/длина/плотность (0,420х45,7 м., 80 г/кв.м.)</t>
  </si>
  <si>
    <t>ширина рулона/длина/плотность (0,610х45,7 м., 80 г/кв.м.)</t>
  </si>
  <si>
    <t>ширина рулона/длина/плотность Мультипак, 6 рулонов (0,610х45,7 м., 80 г/кв.м.)</t>
  </si>
  <si>
    <t>ширина рулона/длина/плотность (0,914х45,7 м., 80 г/кв.м.)</t>
  </si>
  <si>
    <t>ширина рулона/длина/плотность Мультипак, 6 рулонов (0,914х45,7 м., 80 г/кв.м.)</t>
  </si>
  <si>
    <t>ширина рулона/длина/плотность (1,067х45,7 м., 80 г/кв.м.)</t>
  </si>
  <si>
    <t>ширина рулона/длина/плотность (0,610х45,7 м., 90 г/кв.м.)</t>
  </si>
  <si>
    <t>ширина рулона/длина/плотность Мультипак, 6 рулонов (0,610х45,7 м., 90 г/кв.м.)</t>
  </si>
  <si>
    <t>ширина рулона/длина/плотность (0,914х45,7 м., 90 г/кв.м.)</t>
  </si>
  <si>
    <t>ширина рулона/длина/плотность Мультипак, 6 рулонов (0,914х45,7 м., 90 г/кв.м.)</t>
  </si>
  <si>
    <t>ширина рулона/длина/плотность (0,610х30,5 м., 120 г/кв.м.)</t>
  </si>
  <si>
    <t>ширина рулона/длина/плотность (0,914х30,5 м., 120 г/кв.м.)</t>
  </si>
  <si>
    <t>ширина рулона/длина/плотность (0,610х30,5 м., 160 г/кв.м.)</t>
  </si>
  <si>
    <t>ширина рулона/длина/плотность (0,297х175 м., 80 г/кв.м.)</t>
  </si>
  <si>
    <t>ширина рулона/длина/плотность (0,420х175 м., 80 г/кв.м.)</t>
  </si>
  <si>
    <t>ширина рулона/длина/плотность (0,594х175 м., 80 г/кв.м.)</t>
  </si>
  <si>
    <t>ширина рулона/длина/плотность (0,620х175 м., 80 г/кв.м.)</t>
  </si>
  <si>
    <t>ширина рулона/длина/плотность (0,914х175 м., 80 г/кв.м.)</t>
  </si>
  <si>
    <t>Z80-24-1</t>
  </si>
  <si>
    <t>Z80-24-6</t>
  </si>
  <si>
    <t>Z80-36-1</t>
  </si>
  <si>
    <t>Z80-36-6</t>
  </si>
  <si>
    <t>Z80-42-1</t>
  </si>
  <si>
    <t>Z90-24-1</t>
  </si>
  <si>
    <t>Z90-24-6</t>
  </si>
  <si>
    <t>Z90-36-1</t>
  </si>
  <si>
    <t>Z90-36-6</t>
  </si>
  <si>
    <t>Z120-24-1</t>
  </si>
  <si>
    <t>Z120-24-6</t>
  </si>
  <si>
    <t>ширина рулона/длина/плотность Мультипак, 6 рулонов (0,610х30,5 м., 120 г/кв.м.)</t>
  </si>
  <si>
    <t>Z160-24-1</t>
  </si>
  <si>
    <t>Z160-24-6</t>
  </si>
  <si>
    <t>ширина рулона/длина/плотность Мультипак, 6 рулонов (0,610х30,5 м., 160 г/кв.м.)</t>
  </si>
  <si>
    <t>ширина рулона/длина/плотность (0,610х18 м., 320 г/кв.м.)</t>
  </si>
  <si>
    <t>ширина рулона/длина/плотность (0,914х18 м., 320 г/кв.м.)</t>
  </si>
  <si>
    <t>ширина рулона/длина/плотность (1,067х18 м., 320 г/кв.м.)</t>
  </si>
  <si>
    <t>ширина рулона/длина/плотность (1,270х18 м., 320 г/кв.м.)</t>
  </si>
  <si>
    <t>ширина рулона/длина/плотность (1,372х18 м., 320 г/кв.м.)</t>
  </si>
  <si>
    <t>ширина рулона/длина/плотность (1,524х18 м., 320 г/кв.м.)</t>
  </si>
  <si>
    <t>UC320-24</t>
  </si>
  <si>
    <t>UC320-36</t>
  </si>
  <si>
    <t>UC320-42</t>
  </si>
  <si>
    <t>UC320-50</t>
  </si>
  <si>
    <t>UC320-54</t>
  </si>
  <si>
    <t>UC320-60</t>
  </si>
  <si>
    <t>Синтетический матовый экономичный холст Albeo Synthetic Canvas 230 г/м2,втулка 50,8мм</t>
  </si>
  <si>
    <t>SC230-24</t>
  </si>
  <si>
    <t>SC230-36</t>
  </si>
  <si>
    <t>SC230-42</t>
  </si>
  <si>
    <t>SC230-50</t>
  </si>
  <si>
    <t>SC230-60</t>
  </si>
  <si>
    <t>WPB170-42</t>
  </si>
  <si>
    <t>WPB170-50</t>
  </si>
  <si>
    <t>WPB170-60</t>
  </si>
  <si>
    <t>ширина рулона/длина/плотность (0,610х30 м., 230 г/кв.м.)</t>
  </si>
  <si>
    <t>ширина рулона/длина/плотность (0,914х30 м., 230 г/кв.м.)</t>
  </si>
  <si>
    <t>ширина рулона/длина/плотность (1,067х30 м., 230 г/кв.м.)</t>
  </si>
  <si>
    <t>ширина рулона/длина/плотность (1,270х30 м., 230 г/кв.м.)</t>
  </si>
  <si>
    <t>ширина рулона/длина/плотность (1,524х30 м., 230 г/кв.м.)</t>
  </si>
  <si>
    <t>Q90-24-1</t>
  </si>
  <si>
    <t>Q90-36-1</t>
  </si>
  <si>
    <t>ширина рулона/длина/плотность (1,067х30 м., 198 г/кв.м.)</t>
  </si>
  <si>
    <t>ширина рулона/длина/плотность (1,270х30 м., 198 г/кв.м.)</t>
  </si>
  <si>
    <t>ширина рулона/длина/плотность (1,524х30 м., 198 г/кв.м.)</t>
  </si>
  <si>
    <t>Z80-914/175</t>
  </si>
  <si>
    <t>ширина рулона/длина/плотность (0,610х50 м., 180 г/кв.м.)</t>
  </si>
  <si>
    <t>ширина рулона/длина/плотность (0,914х50 м., 180 г/кв.м.)</t>
  </si>
  <si>
    <t>ширина рулона/длина/плотность (1,067х50 м., 180 г/кв.м.)</t>
  </si>
  <si>
    <t>ширина рулона/длина/плотность (1,270х50 м., 180 г/кв.м.)</t>
  </si>
  <si>
    <t>ширина рулона/длина/плотность (1,372х50 м., 180 г/кв.м.)</t>
  </si>
  <si>
    <t>ширина рулона/длина/плотность (1,524х50 м., 180 г/кв.м.)</t>
  </si>
  <si>
    <t>PP180-24</t>
  </si>
  <si>
    <t>PP180-36</t>
  </si>
  <si>
    <t>PP180-42</t>
  </si>
  <si>
    <t>PP180-50</t>
  </si>
  <si>
    <t>PP180-54</t>
  </si>
  <si>
    <t>PP180-60</t>
  </si>
  <si>
    <t>ширина рулона/длина/плотность (0,841х175 м., 80 г/кв.м.)</t>
  </si>
  <si>
    <t>Кол-во рулонов в упаковке</t>
  </si>
  <si>
    <t>Кол-во рулонов на паллете</t>
  </si>
  <si>
    <t>Объем</t>
  </si>
  <si>
    <t>S80-297/175</t>
  </si>
  <si>
    <t>S80-420/175</t>
  </si>
  <si>
    <t>S80-594/175</t>
  </si>
  <si>
    <t>S80-620/175</t>
  </si>
  <si>
    <t>S80-841/175</t>
  </si>
  <si>
    <t>S80-914/175</t>
  </si>
  <si>
    <t>S80-24-1</t>
  </si>
  <si>
    <t>S80-36-1</t>
  </si>
  <si>
    <t>S80-42-1</t>
  </si>
  <si>
    <t>Самоклеящаяся матовая полипропиленовая пленка Albeo, Albeo Self-adhesive Matte Polypropylene, 180г/м2, втулка 50,8 мм</t>
  </si>
  <si>
    <t>Универсальный матовый холст Albeo, Albeo Universal Canvas, 320 г/м2, втулка 50,8мм</t>
  </si>
  <si>
    <t>PM180-24</t>
  </si>
  <si>
    <t>ширина рулона/длина/плотность (0,610х30 м., 180 г/кв.м.)</t>
  </si>
  <si>
    <t>PM180-36</t>
  </si>
  <si>
    <t>ширина рулона/длина/плотность (0,914х30 м., 180 г/кв.м.)</t>
  </si>
  <si>
    <t>PM180-42</t>
  </si>
  <si>
    <t>ширина рулона/длина/плотность (1,067х30 м., 180 г/кв.м.)</t>
  </si>
  <si>
    <t>PM180-60</t>
  </si>
  <si>
    <t>ширина рулона/длина/плотность (1,524х30 м., 180 г/кв.м.)</t>
  </si>
  <si>
    <t>PG180-24</t>
  </si>
  <si>
    <t>PG180-36</t>
  </si>
  <si>
    <t>PG180-42</t>
  </si>
  <si>
    <t>PG180-60</t>
  </si>
  <si>
    <t>PS180-24</t>
  </si>
  <si>
    <t>PS180-36</t>
  </si>
  <si>
    <t>PS180-42</t>
  </si>
  <si>
    <t>PS180-60</t>
  </si>
  <si>
    <t>Фотобумага глянцевая, 180 г/м2, влагостойкая , Albeo Gloss Photo Paper 180г/м2, втулка 50,8мм</t>
  </si>
  <si>
    <t>Фотобумага полуглянцевая, 180 г/м2, влагостойкая  Albeo, Albeo Semi-Gloss Photo Paper 180г/м2, втулка 50,8мм</t>
  </si>
  <si>
    <t>ширина рулона/длина/плотность (0,610х18 м., 380 г/кв.м.)</t>
  </si>
  <si>
    <t>ширина рулона/длина/плотность (1,524х18 м., 380 г/кв.м.)</t>
  </si>
  <si>
    <t>Синтетический глянцевый экономичный холст Albeo Synthetic Gloss Canvas 260 г/м2,втулка 50,8мм</t>
  </si>
  <si>
    <t>UGC380-24</t>
  </si>
  <si>
    <t>UGC380-36</t>
  </si>
  <si>
    <t>UGC380-42</t>
  </si>
  <si>
    <t>UGC380-60</t>
  </si>
  <si>
    <t>SGC260-24</t>
  </si>
  <si>
    <t>SGC260-36</t>
  </si>
  <si>
    <t>SGC260-42</t>
  </si>
  <si>
    <t>SGC260-50</t>
  </si>
  <si>
    <t>SGC260-60</t>
  </si>
  <si>
    <t>ширина рулона/длина/плотность (0,610х30 м., 260 г/кв.м.)</t>
  </si>
  <si>
    <t>ширина рулона/длина/плотность (0,914х30 м., 260 г/кв.м.)</t>
  </si>
  <si>
    <t>ширина рулона/длина/плотность (1,067х30 м., 260 г/кв.м.)</t>
  </si>
  <si>
    <t>ширина рулона/длина/плотность (1,270х30 м., 260 г/кв.м.)</t>
  </si>
  <si>
    <t>ширина рулона/длина/плотность (1,524х30 м., 260 г/кв.м.)</t>
  </si>
  <si>
    <t>ширина рулона/длина/плотность (0,914х18 м., 380 г/кв.м.)</t>
  </si>
  <si>
    <t>ширина рулона/длина/плотность (1,067х18 м., 380 г/кв.м.)</t>
  </si>
  <si>
    <t>Фотобумага матовая, 180 г/м2, влагостойкая , Albeo Mattе Photo Paper 180г/м2, втулка 50,8мм</t>
  </si>
  <si>
    <t>Универсальный глянцевый холст Albeo, Albeo Universal Gloss Canvas, 380 г/м2, втулка 50,8мм</t>
  </si>
  <si>
    <t>Самоклеящаяся глянцевая полипропиленовая пленка Albeo, Albeo Self-adhesive Gloss Polypropylene, 180г/м2, втулка 50,8 мм</t>
  </si>
  <si>
    <t>GPP180-24</t>
  </si>
  <si>
    <t>GPP180-36</t>
  </si>
  <si>
    <t>GPP180-42</t>
  </si>
  <si>
    <t>GLPP180-42</t>
  </si>
  <si>
    <t>ширина рулона/длина/плотность (1,067х30м., 180 г/кв.м.)</t>
  </si>
  <si>
    <t>Глянцевая полипропиленовая пленка Albeo, Albeo Gloss Polypropylene Paper 180 г/м2, втулка 50,8мм</t>
  </si>
  <si>
    <t>Глянцевая полипропиленовая пленка Albeo, Albeo Gloss Polypropylene Paper 180 г/м2, втулка 76,2мм</t>
  </si>
  <si>
    <t>GLPP180-76-36</t>
  </si>
  <si>
    <t>ширина рулона/длина/плотность (0,914х30м., 180 г/кв.м.)</t>
  </si>
  <si>
    <t>Самоклеящаяся глянцевая полипропиленовая пленка Albeo, Albeo Self-adhesive Gloss Polypropylene, 180г/м2, втулка 76,2 мм</t>
  </si>
  <si>
    <t>GPP180-76-36</t>
  </si>
  <si>
    <t>Полипропиленовая пленка Albeo, Albeo Polypropylene Paper 130 г/м2, втулка 76,2мм</t>
  </si>
  <si>
    <t>Универсальный экономичный синтетический холст с золотым покрытием Albeo Gold Canvas 230 г/м2, втулка 76,2мм</t>
  </si>
  <si>
    <t>ширина рулона/длина/плотность (1,372х18 м., 230 г/кв.м.)</t>
  </si>
  <si>
    <t>Универсальный экономичный синтетический холст с серебряным покрытием Albeo Silver Canvas 230 г/м2, втулка 76,2мм</t>
  </si>
  <si>
    <t>ширина рулона/длина/плотность (0,594х45,7 м., 80 г/кв.м.)</t>
  </si>
  <si>
    <t>ширина рулона/длина/плотность (0,594х100 м., 80 г/кв.м.)</t>
  </si>
  <si>
    <t>ширина рулона/длина/плотность (0,841х45,7 м., 80 г/кв.м.)</t>
  </si>
  <si>
    <t>ширина рулона/длина/плотность (0,841х100 м., 80 г/кв.м.)</t>
  </si>
  <si>
    <t>Q52-620/175</t>
  </si>
  <si>
    <t>ширина рулона/длина/плотность (0,620х175м., 52 г/кв.м.)</t>
  </si>
  <si>
    <t>Q52-914/175</t>
  </si>
  <si>
    <t>ширина рулона/длина/плотность (0,914х175 м., 52 г/кв.м.)</t>
  </si>
  <si>
    <t>Q60-620/175</t>
  </si>
  <si>
    <t>ширина рулона/длина/плотность (0,620х175м., 60 г/кв.м.)</t>
  </si>
  <si>
    <t>Q60-914/175</t>
  </si>
  <si>
    <t>ширина рулона/длина/плотность (0,914х175 м., 60 г/кв.м.)</t>
  </si>
  <si>
    <t>Q80-620/175</t>
  </si>
  <si>
    <t>ширина рулона/длина/плотность (0,620х175м., 80 г/кв.м.)</t>
  </si>
  <si>
    <t>Q80-914/175</t>
  </si>
  <si>
    <t>ширина рулона/длина/плотность (1,016х50м., 180 г/кв.м.)</t>
  </si>
  <si>
    <t>PP180-76-40</t>
  </si>
  <si>
    <t>Самоклеящаяся матовая полипропиленовая пленка Albeo, Albeo Self-adhesive Matte Polypropylene, 180г/м2, втулка 76,2 мм</t>
  </si>
  <si>
    <t>ширина рулона/длина/плотность (0,914х50м., 180 г/кв.м.)</t>
  </si>
  <si>
    <t>MPP180-76-36</t>
  </si>
  <si>
    <t>PS180-76-36</t>
  </si>
  <si>
    <t>Фотобумага полуглянцевая, 180 г/м2, влагостойкая  Albeo, Albeo Semi-Gloss Photo Paper 180г/м2, втулка 76,2мм</t>
  </si>
  <si>
    <t>PG180-76-36</t>
  </si>
  <si>
    <t>Фотобумага глянцевая, 180 г/м2, влагостойкая , Albeo Gloss Photo Paper 180г/м2, втулка 76,2мм</t>
  </si>
  <si>
    <t>PM180-76-36</t>
  </si>
  <si>
    <t>Фотобумага матовая, 180 г/м2, влагостойкая , Albeo Mattе Photo Paper 180г/м2, втулка 76,2мм</t>
  </si>
  <si>
    <t>Фотообои гладкие флизелиновые 130 г/м2, втулка 76,2 мм</t>
  </si>
  <si>
    <t>WALL130</t>
  </si>
  <si>
    <t>ширина рулона/длина/плотность (1,06х50м., 130 г/кв.м.)</t>
  </si>
  <si>
    <t>Q52-841/175</t>
  </si>
  <si>
    <t>ширина рулона/длина/плотность (0,841х175 м., 52 г/кв.м.)</t>
  </si>
  <si>
    <t>Q60-841/175</t>
  </si>
  <si>
    <t>ширина рулона/длина/плотность (0,841х175 м., 60 г/кв.м.)</t>
  </si>
  <si>
    <t>Q80-841/175</t>
  </si>
  <si>
    <t>Полипропиленовая пленка Albeo, Albeo Polypropylene Paper 130 г/м2, втулка 50,8мм</t>
  </si>
  <si>
    <t>MPP130-24</t>
  </si>
  <si>
    <t>ширина рулона/длина/плотность (0,610х30м., 130 г/кв.м.)</t>
  </si>
  <si>
    <t>MPP130-36</t>
  </si>
  <si>
    <t>ширина рулона/длина/плотность (0,914х30м., 130 г/кв.м.)</t>
  </si>
  <si>
    <t>MPP130-42</t>
  </si>
  <si>
    <t>ширина рулона/длина/плотность (1,067х30м., 130 г/кв.м.)</t>
  </si>
  <si>
    <t>MPP130-60</t>
  </si>
  <si>
    <t>ширина рулона/длина/плотность (1,524х30м., 130 г/кв.м.)</t>
  </si>
  <si>
    <t>ширина рулона/длина/плотность (0,297х45,7 м., 80 г/кв.м.)</t>
  </si>
  <si>
    <t>ширина рулона/длина/плотность (0,594х45,7 м., 90 г/кв.м.)</t>
  </si>
  <si>
    <t>Z80-11-2</t>
  </si>
  <si>
    <t>Z80-33-1</t>
  </si>
  <si>
    <t>Z80-23-1</t>
  </si>
  <si>
    <t>Z80-16-2</t>
  </si>
  <si>
    <t>Z90-23-1</t>
  </si>
  <si>
    <t>Бумага Albeo InkJet Paper, для плоттеров, универсальная, в рулонах, белизна 148%, втулка 50,8мм (2"), плотность 90 г/кв.м., длина рулона 45,7м</t>
  </si>
  <si>
    <t>Бумага Albeo InkJet Paper, для плоттеров, универсальная, в рулонах, белизна 148%, втулка 50,8мм (2"), плотность 80 г/кв.м., длина рулона 45,7м</t>
  </si>
  <si>
    <t>Бумага Albeo InkJet Paper, для плоттеров, универсальная, в рулонах, белизна 148%, втулка 50,8мм (2"), плотность 120 г/кв.м., длина рулона 30,5м</t>
  </si>
  <si>
    <t>Бумага Albeo InkJet Paper, для плоттеров, универсальная, в рулонах, белизна 148%, втулка 50,8мм (2"), плотность 160 г/кв.м., длина рулона 30,5м</t>
  </si>
  <si>
    <t>Бумага Albeo InkJet Paper, для плоттеров, универсальная, в рулонах, белизна 148%, втулка 50,8мм (2"), плотность 80 г/кв.м., длина рулона 100м</t>
  </si>
  <si>
    <t>ширина рулона/длина/плотность (0,610х100 м., 80 г/кв.м.)</t>
  </si>
  <si>
    <t>ширина рулона/длина/плотность (0,914х100 м., 80 г/кв.м.)</t>
  </si>
  <si>
    <t>Бумага Albeo InkJet Premium Paper, для плоттеров, универсальная, в рулонах, белизна 170%, втулка 50,8 мм , плотность 80 г/кв.м., длина рулона 45,7м</t>
  </si>
  <si>
    <t>Бумага Albeo Engineer Paper, инженерная для плоттеров, в рулонах, белизна 148%, втулка 76,2мм (3"), плотность 80 г/кв.м., длина рулона 175м</t>
  </si>
  <si>
    <t>Бумага Albeo Engineer Paper, инженерная для плоттеров, в рулонах, белизна 148%, втулка 76,2мм (3"), плотность 80 г/кв.м., длина рулона 150м</t>
  </si>
  <si>
    <t>Z80-297/150</t>
  </si>
  <si>
    <t>ширина рулона/длина/плотность (0,297х150 м., 80 г/кв.м.)</t>
  </si>
  <si>
    <t>Z80-420/150</t>
  </si>
  <si>
    <t>ширина рулона/длина/плотность (0,420х150 м., 80 г/кв.м.)</t>
  </si>
  <si>
    <t>Z80-594/150</t>
  </si>
  <si>
    <t>ширина рулона/длина/плотность (0,594х150 м., 80 г/кв.м.)</t>
  </si>
  <si>
    <t>Z80-620/150</t>
  </si>
  <si>
    <t>ширина рулона/длина/плотность (0,620х150 м., 80 г/кв.м.)</t>
  </si>
  <si>
    <t>Z80-841/150</t>
  </si>
  <si>
    <t>ширина рулона/длина/плотность (0,841х150 м., 80 г/кв.м.)</t>
  </si>
  <si>
    <t>Z80-914/150</t>
  </si>
  <si>
    <t>ширина рулона/длина/плотность (0,914х150 м., 80 г/кв.м.)</t>
  </si>
  <si>
    <t>Влагостойкая светорассеивающая пленка Albeo, Albeo Waterproof Backlit 198г/м2, втулка 50,8мм</t>
  </si>
  <si>
    <t>Натуральная калька Albeo, Natural Tracing Paper,для струйных плоттеров, в рулонах, втулка 50,8мм (2"), 80 г/кв.м., длина 45,7м</t>
  </si>
  <si>
    <t>Калька Albeo Engineer tracing paper, для инженерных плоттеров, в рулонах, втулка 76,2мм (3"), плотность 52, 60 и 80 г/кв.м., длина 175м</t>
  </si>
  <si>
    <t>Z80-23/100</t>
  </si>
  <si>
    <t>Z80-24/100</t>
  </si>
  <si>
    <t>Z80-33/100</t>
  </si>
  <si>
    <t>Z80-36/100</t>
  </si>
  <si>
    <t>Бумага Albeo Engineer Premium Paper, инженерная для плоттеров, в рулонах, белизна 170%, втулка 76,2мм (3"), плотность 80 г/кв.м., длина рулона 175м</t>
  </si>
  <si>
    <t>БУМАГА ДЛЯ ПЛОТТЕРОВ</t>
  </si>
  <si>
    <t>ПЛЁНКА ДЛЯ ПЛОТТЕРОВ</t>
  </si>
  <si>
    <t>ХОЛСТЫ ДЛЯ ПЛОТТЕРОВ</t>
  </si>
  <si>
    <t>ФОТОБУМАГА ДЛЯ ПЛОТТЕРОВ</t>
  </si>
  <si>
    <t>КАЛЬКА  ДЛЯ  ПЛОТТЕРОВ</t>
  </si>
  <si>
    <t>ФОТООБОИ ДЛЯ ПЛОТТЕРОВ</t>
  </si>
  <si>
    <t>0,107*0,107*0,63</t>
  </si>
  <si>
    <t>0,107*0,107*0,86</t>
  </si>
  <si>
    <t>0,290*0,195*0,625</t>
  </si>
  <si>
    <t>0,107*0,107*0,935</t>
  </si>
  <si>
    <t>0,290*0,195*0,93</t>
  </si>
  <si>
    <t>0,107*0,107*1,087</t>
  </si>
  <si>
    <t>0,635*0,145*0,145</t>
  </si>
  <si>
    <t>0,865*0,145*0,145</t>
  </si>
  <si>
    <t>0,945*0,145*0,145</t>
  </si>
  <si>
    <t>0,635*0,325*0,165</t>
  </si>
  <si>
    <t>0,855*0,325*0,165</t>
  </si>
  <si>
    <t>0,940*0,325*0,165</t>
  </si>
  <si>
    <t>0,635*0,345*0,175</t>
  </si>
  <si>
    <t>0,855*0,345*0,175</t>
  </si>
  <si>
    <t>0,940*0,185*0,185</t>
  </si>
  <si>
    <t>0,645*0,185*0,185</t>
  </si>
  <si>
    <t>0,865*0,185*0,185</t>
  </si>
  <si>
    <t>Вес рулона, кг</t>
  </si>
  <si>
    <t>Вес упаковки, кг</t>
  </si>
  <si>
    <t>Габариты упаковки, м</t>
  </si>
  <si>
    <t>Цена розничная, РРЦ</t>
  </si>
  <si>
    <t>Z80-297/175/4</t>
  </si>
  <si>
    <t>Z80-420/175/4</t>
  </si>
  <si>
    <t>Z80-594/175/2</t>
  </si>
  <si>
    <t>Z80-620/175/2</t>
  </si>
  <si>
    <t>Z80-841/175/2</t>
  </si>
  <si>
    <t>0,66*0,145*0,145</t>
  </si>
  <si>
    <t>0,96*0,145*0,145</t>
  </si>
  <si>
    <t>1,12*0,145*0,145</t>
  </si>
  <si>
    <t>1,32*0,145*0,145</t>
  </si>
  <si>
    <t>1,42*0,145*0,145</t>
  </si>
  <si>
    <t>1,57*0,145*0,145</t>
  </si>
  <si>
    <t>0,66*0,12*0,12</t>
  </si>
  <si>
    <t>0,96*0,12*0,12</t>
  </si>
  <si>
    <t>1,12*0,12*0,12</t>
  </si>
  <si>
    <t>0,64*0,13*0,13</t>
  </si>
  <si>
    <t>0,96*0,13*0,13</t>
  </si>
  <si>
    <t>1,12*0,13*0,13</t>
  </si>
  <si>
    <t>1,57*0,13*0,13</t>
  </si>
  <si>
    <t>1,32*0,12*0,12</t>
  </si>
  <si>
    <t>1,57*0,12*0,12</t>
  </si>
  <si>
    <t>0,96*0,15*0,15</t>
  </si>
  <si>
    <t>1,06*0,145*0,145</t>
  </si>
  <si>
    <t>1,32*0,13*0,13</t>
  </si>
  <si>
    <t>1,42*0,13*0,13</t>
  </si>
  <si>
    <t>0,66*0,15*0,15</t>
  </si>
  <si>
    <t>1,12*0,15*0,15</t>
  </si>
  <si>
    <t>1,32*0,15*0,15</t>
  </si>
  <si>
    <t>1,57*0,15*0,15</t>
  </si>
  <si>
    <t>0,66*0,135*0,135</t>
  </si>
  <si>
    <t>1,41*0,13*0,13</t>
  </si>
  <si>
    <t>1,00*0,16*0,16</t>
  </si>
  <si>
    <t>1,11*0,15*0,15</t>
  </si>
  <si>
    <t>Кол-во в заказе</t>
  </si>
  <si>
    <t>Вес в заказе</t>
  </si>
  <si>
    <t>Объем в заказе</t>
  </si>
  <si>
    <t>ИТОГО:</t>
  </si>
  <si>
    <t>AU230-54</t>
  </si>
  <si>
    <t>AG230-54</t>
  </si>
  <si>
    <t>ширина рулона/длина/плотность (0,610х30,5 м., 180 г/кв.м.)</t>
  </si>
  <si>
    <t>ширина рулона/длина/плотность (0,914х30,5 м., 180 г/кв.м.)</t>
  </si>
  <si>
    <t>ширина рулона/длина/плотность (0,914х30,5 м., 200 г/кв.м.)</t>
  </si>
  <si>
    <t>ширина рулона/длина/плотность (0,610х30,5 м., 200 г/кв.м.)</t>
  </si>
  <si>
    <t>W90-76-36</t>
  </si>
  <si>
    <t>W90-76-40</t>
  </si>
  <si>
    <t>W120-76-40</t>
  </si>
  <si>
    <t>W180-76-40</t>
  </si>
  <si>
    <t>W200-76-40</t>
  </si>
  <si>
    <t>ширина рулона/длина/плотность (0,914х175 м., 90 г/кв.м.)</t>
  </si>
  <si>
    <t>ширина рулона/длина/плотность (1,016х175 м., 90 г/кв.м.)</t>
  </si>
  <si>
    <t>ширина рулона/длина/плотность (1,016х90 м., 120 г/кв.м.)</t>
  </si>
  <si>
    <t>ширина рулона/длина/плотность (1,016х60 м., 180 г/кв.м.)</t>
  </si>
  <si>
    <t>ширина рулона/длина/плотность (1,016х60 м., 200 г/кв.м.)</t>
  </si>
  <si>
    <t>W90-24</t>
  </si>
  <si>
    <t>ширина рулона/длина/плотность (0,610х30,5 м., 90 г/кв.м.)</t>
  </si>
  <si>
    <t>W90-36</t>
  </si>
  <si>
    <t>ширина рулона/длина/плотность (0,914х30,5 м., 90 г/кв.м.)</t>
  </si>
  <si>
    <t>W90-42</t>
  </si>
  <si>
    <t>ширина рулона/длина/плотность (1,067х30,5 м., 90 г/кв.м.)</t>
  </si>
  <si>
    <t>W90-50</t>
  </si>
  <si>
    <t>ширина рулона/длина/плотность (1,270х30,5 м., 90 г/кв.м.)</t>
  </si>
  <si>
    <t>W120-24</t>
  </si>
  <si>
    <t>W120-36</t>
  </si>
  <si>
    <t>W120-42</t>
  </si>
  <si>
    <t>ширина рулона/длина/плотность (1,067х30,5 м., 120 г/кв.м.)</t>
  </si>
  <si>
    <t>W120-50</t>
  </si>
  <si>
    <t>ширина рулона/длина/плотность (1,270х30,5 м., 120 г/кв.м.)</t>
  </si>
  <si>
    <t>W180-24</t>
  </si>
  <si>
    <t>W180-36</t>
  </si>
  <si>
    <t>W180-42</t>
  </si>
  <si>
    <t>ширина рулона/длина/плотность (1,067х30,5 м., 180 г/кв.м.)</t>
  </si>
  <si>
    <t>W180-50</t>
  </si>
  <si>
    <t>ширина рулона/длина/плотность (1,270х30,5 м., 180 г/кв.м.)</t>
  </si>
  <si>
    <t>SH200-24</t>
  </si>
  <si>
    <t>SH200-36</t>
  </si>
  <si>
    <t>SH200-42</t>
  </si>
  <si>
    <t>ширина рулона/длина/плотность (1,067х30,5 м., 200 г/кв.м.)</t>
  </si>
  <si>
    <t>SH200-50</t>
  </si>
  <si>
    <t>ширина рулона/длина/плотность (1,270х30,5 м., 200 г/кв.м.)</t>
  </si>
  <si>
    <t>Бумага Albeo InkJet Coated Paper-Universal, универсальная для плоттеров, с покрытием, в рулонах, втулка 76,2 мм, плотность 90,120,180 и 200 г/кв.м</t>
  </si>
  <si>
    <t>Бумага Albeo InkJet Coated Paper-Universal, универсальная для плоттеров, с покрытием, в рулонах, втулка 50,8 мм, плотность 90,120,180 и 200 г/кв.м, длина рулона 30,5 м</t>
  </si>
  <si>
    <t>0,115*0,115*0,65</t>
  </si>
  <si>
    <t>0,115*0,115*0,955</t>
  </si>
  <si>
    <t>0,115*0,115*1,31</t>
  </si>
  <si>
    <t>0,115*0,115*1,11</t>
  </si>
  <si>
    <t>1,03*0,185*0,185</t>
  </si>
  <si>
    <t>1,03*0,15*0,15</t>
  </si>
  <si>
    <t>!ВНИМАНИЕ! Если у Вас не раскрывается список товаров, необходимо открыть этот документ в режиме редактирования.
Вверху справа на желтой полосе нажмите кнопку "Разрешить редактирование".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</si>
</sst>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"/>
    <numFmt numFmtId="166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  <charset val="204"/>
      <scheme val="minor"/>
    </font>
    <font>
      <b/>
      <sz val="10"/>
      <name val="Arial"/>
      <family val="2"/>
    </font>
    <font>
      <b/>
      <sz val="1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4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31"/>
        <bgColor indexed="22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>
      <alignment horizontal="left"/>
    </xf>
    <xf numFmtId="0" fontId="6" fillId="0" borderId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9" fillId="2" borderId="2" applyNumberFormat="0" applyProtection="0">
      <alignment vertical="center"/>
    </xf>
    <xf numFmtId="0" fontId="9" fillId="2" borderId="2" applyNumberFormat="0" applyProtection="0">
      <alignment horizontal="left" vertical="center" indent="1"/>
    </xf>
    <xf numFmtId="0" fontId="9" fillId="3" borderId="2" applyNumberFormat="0" applyProtection="0">
      <alignment horizontal="right" vertical="center"/>
    </xf>
    <xf numFmtId="0" fontId="10" fillId="4" borderId="2" applyNumberFormat="0" applyProtection="0">
      <alignment horizontal="left" vertical="center" indent="1"/>
    </xf>
    <xf numFmtId="4" fontId="11" fillId="5" borderId="2" applyNumberFormat="0" applyProtection="0">
      <alignment horizontal="right" vertical="center"/>
    </xf>
    <xf numFmtId="9" fontId="2" fillId="0" borderId="0" applyFont="0" applyFill="0" applyBorder="0" applyAlignment="0" applyProtection="0"/>
    <xf numFmtId="0" fontId="2" fillId="0" borderId="0">
      <alignment horizontal="left"/>
    </xf>
  </cellStyleXfs>
  <cellXfs count="52">
    <xf numFmtId="0" fontId="0" fillId="0" borderId="0" xfId="0"/>
    <xf numFmtId="0" fontId="2" fillId="0" borderId="0" xfId="1" applyFont="1" applyFill="1">
      <alignment horizontal="left"/>
    </xf>
    <xf numFmtId="0" fontId="3" fillId="0" borderId="0" xfId="1" applyFont="1" applyFill="1" applyAlignment="1">
      <alignment horizontal="left" wrapText="1"/>
    </xf>
    <xf numFmtId="0" fontId="3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/>
    </xf>
    <xf numFmtId="0" fontId="2" fillId="6" borderId="0" xfId="1" applyFont="1" applyFill="1">
      <alignment horizontal="left"/>
    </xf>
    <xf numFmtId="1" fontId="4" fillId="6" borderId="1" xfId="1" applyNumberFormat="1" applyFont="1" applyFill="1" applyBorder="1" applyAlignment="1">
      <alignment horizontal="left"/>
    </xf>
    <xf numFmtId="1" fontId="4" fillId="8" borderId="1" xfId="1" applyNumberFormat="1" applyFont="1" applyFill="1" applyBorder="1" applyAlignment="1">
      <alignment horizontal="left"/>
    </xf>
    <xf numFmtId="0" fontId="12" fillId="6" borderId="0" xfId="0" applyFont="1" applyFill="1"/>
    <xf numFmtId="0" fontId="4" fillId="6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/>
    </xf>
    <xf numFmtId="1" fontId="4" fillId="6" borderId="1" xfId="1" applyNumberFormat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 wrapText="1"/>
    </xf>
    <xf numFmtId="1" fontId="13" fillId="7" borderId="1" xfId="1" applyNumberFormat="1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2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4" fillId="6" borderId="0" xfId="1" applyFont="1" applyFill="1" applyAlignment="1">
      <alignment horizontal="center" vertical="center"/>
    </xf>
    <xf numFmtId="1" fontId="13" fillId="7" borderId="1" xfId="1" applyNumberFormat="1" applyFont="1" applyFill="1" applyBorder="1" applyAlignment="1">
      <alignment horizontal="left" vertical="center"/>
    </xf>
    <xf numFmtId="1" fontId="4" fillId="8" borderId="1" xfId="1" applyNumberFormat="1" applyFont="1" applyFill="1" applyBorder="1" applyAlignment="1">
      <alignment horizontal="left" vertical="center"/>
    </xf>
    <xf numFmtId="3" fontId="4" fillId="9" borderId="1" xfId="14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2" fontId="5" fillId="0" borderId="1" xfId="1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/>
    <xf numFmtId="165" fontId="4" fillId="8" borderId="1" xfId="1" applyNumberFormat="1" applyFont="1" applyFill="1" applyBorder="1" applyAlignment="1">
      <alignment horizontal="left"/>
    </xf>
    <xf numFmtId="1" fontId="4" fillId="8" borderId="1" xfId="1" applyNumberFormat="1" applyFont="1" applyFill="1" applyBorder="1" applyAlignment="1">
      <alignment horizontal="center" vertical="center"/>
    </xf>
    <xf numFmtId="165" fontId="4" fillId="7" borderId="1" xfId="1" applyNumberFormat="1" applyFont="1" applyFill="1" applyBorder="1" applyAlignment="1">
      <alignment horizontal="left"/>
    </xf>
    <xf numFmtId="1" fontId="4" fillId="7" borderId="1" xfId="1" applyNumberFormat="1" applyFont="1" applyFill="1" applyBorder="1" applyAlignment="1">
      <alignment horizontal="center" vertical="center"/>
    </xf>
    <xf numFmtId="1" fontId="4" fillId="7" borderId="1" xfId="1" applyNumberFormat="1" applyFont="1" applyFill="1" applyBorder="1" applyAlignment="1">
      <alignment horizontal="left"/>
    </xf>
    <xf numFmtId="2" fontId="4" fillId="6" borderId="1" xfId="1" applyNumberFormat="1" applyFont="1" applyFill="1" applyBorder="1" applyAlignment="1">
      <alignment horizontal="center"/>
    </xf>
    <xf numFmtId="2" fontId="2" fillId="0" borderId="0" xfId="1" applyNumberFormat="1" applyFont="1" applyFill="1" applyAlignment="1">
      <alignment horizontal="center"/>
    </xf>
    <xf numFmtId="2" fontId="3" fillId="0" borderId="1" xfId="1" applyNumberFormat="1" applyFont="1" applyFill="1" applyBorder="1" applyAlignment="1">
      <alignment horizontal="center" vertical="center" wrapText="1"/>
    </xf>
    <xf numFmtId="2" fontId="13" fillId="7" borderId="1" xfId="1" applyNumberFormat="1" applyFont="1" applyFill="1" applyBorder="1" applyAlignment="1">
      <alignment horizontal="left"/>
    </xf>
    <xf numFmtId="2" fontId="4" fillId="8" borderId="1" xfId="1" applyNumberFormat="1" applyFont="1" applyFill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9" fontId="4" fillId="6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3" fontId="15" fillId="10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vertical="center"/>
    </xf>
    <xf numFmtId="1" fontId="13" fillId="7" borderId="3" xfId="1" applyNumberFormat="1" applyFont="1" applyFill="1" applyBorder="1" applyAlignment="1">
      <alignment horizontal="left" vertical="center"/>
    </xf>
    <xf numFmtId="1" fontId="4" fillId="8" borderId="3" xfId="1" applyNumberFormat="1" applyFont="1" applyFill="1" applyBorder="1" applyAlignment="1">
      <alignment horizontal="left" vertical="center"/>
    </xf>
    <xf numFmtId="0" fontId="16" fillId="12" borderId="4" xfId="0" applyFont="1" applyFill="1" applyBorder="1" applyAlignment="1">
      <alignment horizontal="center" vertical="top" wrapText="1"/>
    </xf>
  </cellXfs>
  <cellStyles count="15">
    <cellStyle name="_x000d__x000a_JournalTemplate=C:\COMFO\CTALK\JOURSTD.TPL_x000d__x000a_LbStateAddress=3 3 0 251 1 89 2 311_x000d__x000a_LbStateJou" xfId="5" xr:uid="{00000000-0005-0000-0000-000000000000}"/>
    <cellStyle name="Currency 2" xfId="6" xr:uid="{00000000-0005-0000-0000-000001000000}"/>
    <cellStyle name="Normal 2" xfId="2" xr:uid="{00000000-0005-0000-0000-000002000000}"/>
    <cellStyle name="Normal 4" xfId="7" xr:uid="{00000000-0005-0000-0000-000003000000}"/>
    <cellStyle name="Normal_Sheet1" xfId="4" xr:uid="{00000000-0005-0000-0000-000004000000}"/>
    <cellStyle name="SAPBEXaggData" xfId="8" xr:uid="{00000000-0005-0000-0000-000005000000}"/>
    <cellStyle name="SAPBEXaggItem" xfId="9" xr:uid="{00000000-0005-0000-0000-000006000000}"/>
    <cellStyle name="SAPBEXstdData" xfId="10" xr:uid="{00000000-0005-0000-0000-000007000000}"/>
    <cellStyle name="SAPBEXstdItem" xfId="11" xr:uid="{00000000-0005-0000-0000-000008000000}"/>
    <cellStyle name="SAPBEXundefined" xfId="12" xr:uid="{00000000-0005-0000-0000-000009000000}"/>
    <cellStyle name="Обычный" xfId="0" builtinId="0"/>
    <cellStyle name="Обычный 2" xfId="1" xr:uid="{00000000-0005-0000-0000-00000C000000}"/>
    <cellStyle name="Обычный 3" xfId="3" xr:uid="{00000000-0005-0000-0000-00000D000000}"/>
    <cellStyle name="Обычный_Себестоимость 2015+Цены" xfId="14" xr:uid="{00000000-0005-0000-0000-00000E000000}"/>
    <cellStyle name="Процентный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179"/>
  <sheetViews>
    <sheetView tabSelected="1" zoomScale="98" zoomScaleNormal="98" workbookViewId="0">
      <pane xSplit="1" ySplit="2" topLeftCell="B3" activePane="bottomRight" state="frozen"/>
      <selection pane="topRight" activeCell="B1" sqref="B1"/>
      <selection pane="bottomLeft" activeCell="A6" sqref="A6"/>
      <selection pane="bottomRight"/>
    </sheetView>
  </sheetViews>
  <sheetFormatPr defaultColWidth="9.42578125" defaultRowHeight="12.75" outlineLevelRow="1" x14ac:dyDescent="0.2"/>
  <cols>
    <col min="1" max="1" width="19.42578125" style="17" customWidth="1"/>
    <col min="2" max="2" width="62.5703125" style="1" bestFit="1" customWidth="1"/>
    <col min="3" max="3" width="9.42578125" style="20" customWidth="1"/>
    <col min="4" max="4" width="10.42578125" style="25" customWidth="1"/>
    <col min="5" max="5" width="8.42578125" style="25" customWidth="1"/>
    <col min="6" max="6" width="18.5703125" style="31" customWidth="1"/>
    <col min="7" max="7" width="6.5703125" style="25" customWidth="1"/>
    <col min="8" max="8" width="7.5703125" style="10" customWidth="1"/>
    <col min="9" max="11" width="8.85546875" style="10" customWidth="1"/>
    <col min="12" max="12" width="8.85546875" style="40" customWidth="1"/>
    <col min="13" max="16384" width="9.42578125" style="1"/>
  </cols>
  <sheetData>
    <row r="1" spans="1:12" ht="42.75" customHeight="1" x14ac:dyDescent="0.2">
      <c r="B1" s="51" t="s">
        <v>342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2" customFormat="1" ht="58.5" customHeight="1" x14ac:dyDescent="0.2">
      <c r="A2" s="18" t="s">
        <v>0</v>
      </c>
      <c r="B2" s="3" t="s">
        <v>1</v>
      </c>
      <c r="C2" s="12" t="s">
        <v>255</v>
      </c>
      <c r="D2" s="3" t="s">
        <v>252</v>
      </c>
      <c r="E2" s="3" t="s">
        <v>253</v>
      </c>
      <c r="F2" s="3" t="s">
        <v>254</v>
      </c>
      <c r="G2" s="3" t="s">
        <v>82</v>
      </c>
      <c r="H2" s="3" t="s">
        <v>80</v>
      </c>
      <c r="I2" s="3" t="s">
        <v>81</v>
      </c>
      <c r="J2" s="3" t="s">
        <v>288</v>
      </c>
      <c r="K2" s="3" t="s">
        <v>289</v>
      </c>
      <c r="L2" s="41" t="s">
        <v>290</v>
      </c>
    </row>
    <row r="3" spans="1:12" s="13" customFormat="1" ht="23.1" customHeight="1" x14ac:dyDescent="0.2">
      <c r="A3" s="13" t="s">
        <v>229</v>
      </c>
      <c r="C3" s="21"/>
      <c r="D3" s="21"/>
      <c r="E3" s="21"/>
      <c r="F3" s="21"/>
      <c r="G3" s="21"/>
      <c r="L3" s="42"/>
    </row>
    <row r="4" spans="1:12" s="7" customFormat="1" ht="24.6" hidden="1" customHeight="1" outlineLevel="1" x14ac:dyDescent="0.2">
      <c r="A4" s="7" t="s">
        <v>200</v>
      </c>
      <c r="C4" s="22"/>
      <c r="D4" s="22"/>
      <c r="E4" s="22"/>
      <c r="F4" s="22"/>
      <c r="G4" s="22"/>
      <c r="L4" s="43"/>
    </row>
    <row r="5" spans="1:12" s="5" customFormat="1" ht="12.75" hidden="1" customHeight="1" outlineLevel="1" x14ac:dyDescent="0.2">
      <c r="A5" s="6" t="s">
        <v>194</v>
      </c>
      <c r="B5" s="6" t="s">
        <v>192</v>
      </c>
      <c r="C5" s="23">
        <v>301</v>
      </c>
      <c r="D5" s="26">
        <f>1*0.297*45.7*0.08</f>
        <v>1.0858320000000001</v>
      </c>
      <c r="E5" s="26">
        <f>2*0.297*45.7*0.08+0.33</f>
        <v>2.5016640000000003</v>
      </c>
      <c r="F5" s="27" t="s">
        <v>235</v>
      </c>
      <c r="G5" s="28">
        <f>0.107*0.107*0.63</f>
        <v>7.2128699999999997E-3</v>
      </c>
      <c r="H5" s="11">
        <v>2</v>
      </c>
      <c r="I5" s="11">
        <v>200</v>
      </c>
      <c r="J5" s="11"/>
      <c r="K5" s="11">
        <f>J5*D5</f>
        <v>0</v>
      </c>
      <c r="L5" s="39">
        <f>J5*G5</f>
        <v>0</v>
      </c>
    </row>
    <row r="6" spans="1:12" s="5" customFormat="1" ht="15" hidden="1" outlineLevel="1" x14ac:dyDescent="0.2">
      <c r="A6" s="6" t="s">
        <v>197</v>
      </c>
      <c r="B6" s="6" t="s">
        <v>2</v>
      </c>
      <c r="C6" s="23">
        <v>332</v>
      </c>
      <c r="D6" s="26">
        <f>1*0.42*45.7*0.08</f>
        <v>1.53552</v>
      </c>
      <c r="E6" s="26">
        <f>2*0.42*45.7*0.08+0.68</f>
        <v>3.7510400000000002</v>
      </c>
      <c r="F6" s="27" t="s">
        <v>236</v>
      </c>
      <c r="G6" s="28">
        <f>0.107*0.107*0.86</f>
        <v>9.8461399999999998E-3</v>
      </c>
      <c r="H6" s="11">
        <v>2</v>
      </c>
      <c r="I6" s="11">
        <v>200</v>
      </c>
      <c r="J6" s="11"/>
      <c r="K6" s="11">
        <f t="shared" ref="K6:K85" si="0">J6*D6</f>
        <v>0</v>
      </c>
      <c r="L6" s="39">
        <f t="shared" ref="L6:L85" si="1">J6*G6</f>
        <v>0</v>
      </c>
    </row>
    <row r="7" spans="1:12" s="5" customFormat="1" ht="15" hidden="1" outlineLevel="1" x14ac:dyDescent="0.2">
      <c r="A7" s="6" t="s">
        <v>196</v>
      </c>
      <c r="B7" s="6" t="s">
        <v>149</v>
      </c>
      <c r="C7" s="23">
        <v>423</v>
      </c>
      <c r="D7" s="26">
        <f>1*0.594*45.7*0.08</f>
        <v>2.1716640000000003</v>
      </c>
      <c r="E7" s="26">
        <f>1*0.594*45.7*0.08+0.33</f>
        <v>2.5016640000000003</v>
      </c>
      <c r="F7" s="27" t="s">
        <v>235</v>
      </c>
      <c r="G7" s="28">
        <f>0.107*0.107*0.63</f>
        <v>7.2128699999999997E-3</v>
      </c>
      <c r="H7" s="11">
        <v>1</v>
      </c>
      <c r="I7" s="11">
        <v>140</v>
      </c>
      <c r="J7" s="11"/>
      <c r="K7" s="11">
        <f t="shared" si="0"/>
        <v>0</v>
      </c>
      <c r="L7" s="39">
        <f t="shared" si="1"/>
        <v>0</v>
      </c>
    </row>
    <row r="8" spans="1:12" s="5" customFormat="1" ht="15" hidden="1" outlineLevel="1" x14ac:dyDescent="0.2">
      <c r="A8" s="6" t="s">
        <v>195</v>
      </c>
      <c r="B8" s="6" t="s">
        <v>151</v>
      </c>
      <c r="C8" s="23">
        <v>607</v>
      </c>
      <c r="D8" s="26">
        <f>1*0.841*45.7*0.08</f>
        <v>3.0746960000000003</v>
      </c>
      <c r="E8" s="26">
        <f>1*0.841*45.7*0.08+0.53</f>
        <v>3.6046960000000006</v>
      </c>
      <c r="F8" s="27" t="s">
        <v>236</v>
      </c>
      <c r="G8" s="28">
        <f>0.107*0.107*0.86</f>
        <v>9.8461399999999998E-3</v>
      </c>
      <c r="H8" s="11">
        <v>1</v>
      </c>
      <c r="I8" s="11">
        <v>100</v>
      </c>
      <c r="J8" s="11"/>
      <c r="K8" s="11">
        <f t="shared" si="0"/>
        <v>0</v>
      </c>
      <c r="L8" s="39">
        <f t="shared" si="1"/>
        <v>0</v>
      </c>
    </row>
    <row r="9" spans="1:12" s="7" customFormat="1" ht="24.6" hidden="1" customHeight="1" outlineLevel="1" x14ac:dyDescent="0.2">
      <c r="A9" s="7" t="s">
        <v>200</v>
      </c>
      <c r="C9" s="22"/>
      <c r="D9" s="22"/>
      <c r="E9" s="22"/>
      <c r="F9" s="22"/>
      <c r="G9" s="22"/>
      <c r="L9" s="43"/>
    </row>
    <row r="10" spans="1:12" s="5" customFormat="1" ht="15" hidden="1" outlineLevel="1" x14ac:dyDescent="0.2">
      <c r="A10" s="6" t="s">
        <v>20</v>
      </c>
      <c r="B10" s="6" t="s">
        <v>3</v>
      </c>
      <c r="C10" s="23">
        <v>403</v>
      </c>
      <c r="D10" s="26">
        <f>1*0.61*45.7*0.08</f>
        <v>2.2301600000000001</v>
      </c>
      <c r="E10" s="26">
        <f>1*0.61*45.7*0.08+0.32</f>
        <v>2.55016</v>
      </c>
      <c r="F10" s="27" t="s">
        <v>235</v>
      </c>
      <c r="G10" s="28">
        <f>0.107*0.107*0.63</f>
        <v>7.2128699999999997E-3</v>
      </c>
      <c r="H10" s="11">
        <v>1</v>
      </c>
      <c r="I10" s="11">
        <v>140</v>
      </c>
      <c r="J10" s="11"/>
      <c r="K10" s="11">
        <f t="shared" si="0"/>
        <v>0</v>
      </c>
      <c r="L10" s="39">
        <f t="shared" si="1"/>
        <v>0</v>
      </c>
    </row>
    <row r="11" spans="1:12" s="5" customFormat="1" ht="15" hidden="1" outlineLevel="1" x14ac:dyDescent="0.2">
      <c r="A11" s="6" t="s">
        <v>21</v>
      </c>
      <c r="B11" s="6" t="s">
        <v>4</v>
      </c>
      <c r="C11" s="23">
        <v>377</v>
      </c>
      <c r="D11" s="26">
        <f>1*0.61*45.7*0.08</f>
        <v>2.2301600000000001</v>
      </c>
      <c r="E11" s="26">
        <f>6*0.61*45.7*0.08+1.52</f>
        <v>14.900960000000001</v>
      </c>
      <c r="F11" s="27" t="s">
        <v>237</v>
      </c>
      <c r="G11" s="28">
        <f>0.29*0.195*0.625</f>
        <v>3.534375E-2</v>
      </c>
      <c r="H11" s="11">
        <v>6</v>
      </c>
      <c r="I11" s="11">
        <v>144</v>
      </c>
      <c r="J11" s="11"/>
      <c r="K11" s="11">
        <f>E11*J11</f>
        <v>0</v>
      </c>
      <c r="L11" s="39">
        <f t="shared" si="1"/>
        <v>0</v>
      </c>
    </row>
    <row r="12" spans="1:12" s="5" customFormat="1" ht="12.75" hidden="1" customHeight="1" outlineLevel="1" x14ac:dyDescent="0.2">
      <c r="A12" s="6" t="s">
        <v>22</v>
      </c>
      <c r="B12" s="6" t="s">
        <v>5</v>
      </c>
      <c r="C12" s="23">
        <v>597</v>
      </c>
      <c r="D12" s="26">
        <f>1*0.914*45.7*0.08</f>
        <v>3.3415840000000006</v>
      </c>
      <c r="E12" s="26">
        <f>1*0.914*45.7*0.08+0.51</f>
        <v>3.8515840000000008</v>
      </c>
      <c r="F12" s="27" t="s">
        <v>238</v>
      </c>
      <c r="G12" s="28">
        <f>0.107*0.107*0.935</f>
        <v>1.0704814999999999E-2</v>
      </c>
      <c r="H12" s="11">
        <v>1</v>
      </c>
      <c r="I12" s="11">
        <v>100</v>
      </c>
      <c r="J12" s="11"/>
      <c r="K12" s="11">
        <f t="shared" si="0"/>
        <v>0</v>
      </c>
      <c r="L12" s="39">
        <f t="shared" si="1"/>
        <v>0</v>
      </c>
    </row>
    <row r="13" spans="1:12" s="5" customFormat="1" ht="15" hidden="1" outlineLevel="1" x14ac:dyDescent="0.2">
      <c r="A13" s="6" t="s">
        <v>23</v>
      </c>
      <c r="B13" s="6" t="s">
        <v>6</v>
      </c>
      <c r="C13" s="23">
        <v>546</v>
      </c>
      <c r="D13" s="26">
        <f>1*0.914*45.7*0.08</f>
        <v>3.3415840000000006</v>
      </c>
      <c r="E13" s="26">
        <f>6*0.914*45.7*0.08+1.95</f>
        <v>21.999504000000002</v>
      </c>
      <c r="F13" s="27" t="s">
        <v>239</v>
      </c>
      <c r="G13" s="28">
        <f>0.29*0.195*0.93</f>
        <v>5.2591499999999999E-2</v>
      </c>
      <c r="H13" s="11">
        <v>6</v>
      </c>
      <c r="I13" s="11">
        <v>114</v>
      </c>
      <c r="J13" s="11"/>
      <c r="K13" s="11">
        <f>E13*J13</f>
        <v>0</v>
      </c>
      <c r="L13" s="39">
        <f t="shared" si="1"/>
        <v>0</v>
      </c>
    </row>
    <row r="14" spans="1:12" s="5" customFormat="1" ht="15" hidden="1" outlineLevel="1" x14ac:dyDescent="0.2">
      <c r="A14" s="6" t="s">
        <v>24</v>
      </c>
      <c r="B14" s="6" t="s">
        <v>7</v>
      </c>
      <c r="C14" s="23">
        <v>785</v>
      </c>
      <c r="D14" s="26">
        <f>1*1.067*45.7*0.08</f>
        <v>3.9009519999999998</v>
      </c>
      <c r="E14" s="26">
        <f>1*1.067*45.7*0.08+0.6</f>
        <v>4.5009519999999998</v>
      </c>
      <c r="F14" s="27" t="s">
        <v>240</v>
      </c>
      <c r="G14" s="28">
        <f>0.107*0.107*1.087</f>
        <v>1.2445062999999999E-2</v>
      </c>
      <c r="H14" s="11">
        <v>1</v>
      </c>
      <c r="I14" s="11">
        <v>100</v>
      </c>
      <c r="J14" s="11"/>
      <c r="K14" s="11">
        <f t="shared" si="0"/>
        <v>0</v>
      </c>
      <c r="L14" s="39">
        <f t="shared" si="1"/>
        <v>0</v>
      </c>
    </row>
    <row r="15" spans="1:12" s="7" customFormat="1" ht="19.5" hidden="1" customHeight="1" outlineLevel="1" x14ac:dyDescent="0.2">
      <c r="A15" s="7" t="s">
        <v>199</v>
      </c>
      <c r="C15" s="22"/>
      <c r="D15" s="22"/>
      <c r="E15" s="22"/>
      <c r="F15" s="22"/>
      <c r="G15" s="22"/>
      <c r="L15" s="43"/>
    </row>
    <row r="16" spans="1:12" s="5" customFormat="1" ht="15" hidden="1" outlineLevel="1" x14ac:dyDescent="0.2">
      <c r="A16" s="6" t="s">
        <v>198</v>
      </c>
      <c r="B16" s="6" t="s">
        <v>193</v>
      </c>
      <c r="C16" s="23">
        <v>515</v>
      </c>
      <c r="D16" s="26">
        <f>1*0.594*45.7*0.09</f>
        <v>2.4431220000000002</v>
      </c>
      <c r="E16" s="26">
        <f>1*0.594*45.7*0.09+0.36</f>
        <v>2.8031220000000001</v>
      </c>
      <c r="F16" s="27" t="s">
        <v>235</v>
      </c>
      <c r="G16" s="28">
        <f>0.107*0.107*0.63</f>
        <v>7.2128699999999997E-3</v>
      </c>
      <c r="H16" s="11">
        <v>1</v>
      </c>
      <c r="I16" s="11">
        <v>140</v>
      </c>
      <c r="J16" s="11"/>
      <c r="K16" s="11">
        <f t="shared" si="0"/>
        <v>0</v>
      </c>
      <c r="L16" s="39">
        <f t="shared" si="1"/>
        <v>0</v>
      </c>
    </row>
    <row r="17" spans="1:12" s="5" customFormat="1" ht="15" hidden="1" outlineLevel="1" x14ac:dyDescent="0.2">
      <c r="A17" s="6" t="s">
        <v>25</v>
      </c>
      <c r="B17" s="6" t="s">
        <v>8</v>
      </c>
      <c r="C17" s="23">
        <v>520</v>
      </c>
      <c r="D17" s="26">
        <f>1*0.61*45.7*0.09</f>
        <v>2.5089300000000003</v>
      </c>
      <c r="E17" s="26">
        <f>1*0.61*45.7*0.09+0.34</f>
        <v>2.8489300000000002</v>
      </c>
      <c r="F17" s="27" t="s">
        <v>235</v>
      </c>
      <c r="G17" s="28">
        <f>0.107*0.107*0.63</f>
        <v>7.2128699999999997E-3</v>
      </c>
      <c r="H17" s="11">
        <v>1</v>
      </c>
      <c r="I17" s="11">
        <v>140</v>
      </c>
      <c r="J17" s="11"/>
      <c r="K17" s="11">
        <f t="shared" si="0"/>
        <v>0</v>
      </c>
      <c r="L17" s="39">
        <f t="shared" si="1"/>
        <v>0</v>
      </c>
    </row>
    <row r="18" spans="1:12" s="5" customFormat="1" ht="15" hidden="1" outlineLevel="1" x14ac:dyDescent="0.2">
      <c r="A18" s="6" t="s">
        <v>26</v>
      </c>
      <c r="B18" s="6" t="s">
        <v>9</v>
      </c>
      <c r="C18" s="23">
        <v>474</v>
      </c>
      <c r="D18" s="26">
        <f>1*0.61*45.7*0.09</f>
        <v>2.5089300000000003</v>
      </c>
      <c r="E18" s="26">
        <f>6*0.61*45.7*0.09+1.15</f>
        <v>16.203580000000002</v>
      </c>
      <c r="F18" s="27" t="s">
        <v>237</v>
      </c>
      <c r="G18" s="28">
        <f>0.29*0.195*0.625</f>
        <v>3.534375E-2</v>
      </c>
      <c r="H18" s="11">
        <v>6</v>
      </c>
      <c r="I18" s="11">
        <v>144</v>
      </c>
      <c r="J18" s="11"/>
      <c r="K18" s="11">
        <f t="shared" si="0"/>
        <v>0</v>
      </c>
      <c r="L18" s="39">
        <f t="shared" si="1"/>
        <v>0</v>
      </c>
    </row>
    <row r="19" spans="1:12" s="5" customFormat="1" ht="15" hidden="1" outlineLevel="1" x14ac:dyDescent="0.2">
      <c r="A19" s="6" t="s">
        <v>27</v>
      </c>
      <c r="B19" s="6" t="s">
        <v>10</v>
      </c>
      <c r="C19" s="23">
        <v>750</v>
      </c>
      <c r="D19" s="26">
        <f>1*0.914*45.7*0.09</f>
        <v>3.7592820000000002</v>
      </c>
      <c r="E19" s="26">
        <f>1*0.914*45.7*0.09+0.54</f>
        <v>4.2992819999999998</v>
      </c>
      <c r="F19" s="27" t="s">
        <v>238</v>
      </c>
      <c r="G19" s="28">
        <f>0.107*0.107*0.935</f>
        <v>1.0704814999999999E-2</v>
      </c>
      <c r="H19" s="11">
        <v>1</v>
      </c>
      <c r="I19" s="11">
        <v>100</v>
      </c>
      <c r="J19" s="11"/>
      <c r="K19" s="11">
        <f t="shared" si="0"/>
        <v>0</v>
      </c>
      <c r="L19" s="39">
        <f t="shared" si="1"/>
        <v>0</v>
      </c>
    </row>
    <row r="20" spans="1:12" s="5" customFormat="1" ht="15" hidden="1" outlineLevel="1" x14ac:dyDescent="0.2">
      <c r="A20" s="6" t="s">
        <v>28</v>
      </c>
      <c r="B20" s="6" t="s">
        <v>11</v>
      </c>
      <c r="C20" s="23">
        <v>709</v>
      </c>
      <c r="D20" s="26">
        <f>1*0.914*45.7*0.09</f>
        <v>3.7592820000000002</v>
      </c>
      <c r="E20" s="26">
        <f>6*0.914*45.7*0.09+1.94</f>
        <v>24.495692000000002</v>
      </c>
      <c r="F20" s="27" t="s">
        <v>239</v>
      </c>
      <c r="G20" s="28">
        <f>0.29*0.195*0.93</f>
        <v>5.2591499999999999E-2</v>
      </c>
      <c r="H20" s="11">
        <v>6</v>
      </c>
      <c r="I20" s="11">
        <v>114</v>
      </c>
      <c r="J20" s="11"/>
      <c r="K20" s="11">
        <f t="shared" si="0"/>
        <v>0</v>
      </c>
      <c r="L20" s="39">
        <f t="shared" si="1"/>
        <v>0</v>
      </c>
    </row>
    <row r="21" spans="1:12" s="7" customFormat="1" ht="19.5" hidden="1" customHeight="1" outlineLevel="1" x14ac:dyDescent="0.2">
      <c r="A21" s="7" t="s">
        <v>201</v>
      </c>
      <c r="C21" s="22"/>
      <c r="D21" s="22"/>
      <c r="E21" s="22"/>
      <c r="F21" s="22"/>
      <c r="G21" s="22"/>
      <c r="L21" s="43"/>
    </row>
    <row r="22" spans="1:12" s="9" customFormat="1" ht="15" hidden="1" outlineLevel="1" x14ac:dyDescent="0.2">
      <c r="A22" s="6" t="s">
        <v>29</v>
      </c>
      <c r="B22" s="6" t="s">
        <v>12</v>
      </c>
      <c r="C22" s="23">
        <v>622</v>
      </c>
      <c r="D22" s="26">
        <f>1*0.61*30.5*0.12</f>
        <v>2.2326000000000001</v>
      </c>
      <c r="E22" s="26">
        <f>1*0.61*30.5*0.12+0.37</f>
        <v>2.6026000000000002</v>
      </c>
      <c r="F22" s="27" t="s">
        <v>235</v>
      </c>
      <c r="G22" s="28">
        <f>0.107*0.107*0.63</f>
        <v>7.2128699999999997E-3</v>
      </c>
      <c r="H22" s="11">
        <v>1</v>
      </c>
      <c r="I22" s="11">
        <v>140</v>
      </c>
      <c r="J22" s="11"/>
      <c r="K22" s="11">
        <f t="shared" si="0"/>
        <v>0</v>
      </c>
      <c r="L22" s="39">
        <f t="shared" si="1"/>
        <v>0</v>
      </c>
    </row>
    <row r="23" spans="1:12" s="5" customFormat="1" ht="11.85" hidden="1" customHeight="1" outlineLevel="1" x14ac:dyDescent="0.2">
      <c r="A23" s="6" t="s">
        <v>30</v>
      </c>
      <c r="B23" s="6" t="s">
        <v>31</v>
      </c>
      <c r="C23" s="23">
        <v>581</v>
      </c>
      <c r="D23" s="26">
        <f>1*0.61*30.5*0.12</f>
        <v>2.2326000000000001</v>
      </c>
      <c r="E23" s="26">
        <f>6*0.61*30.5*0.12+1.15</f>
        <v>14.5456</v>
      </c>
      <c r="F23" s="27" t="s">
        <v>237</v>
      </c>
      <c r="G23" s="28">
        <f>0.29*0.195*0.625</f>
        <v>3.534375E-2</v>
      </c>
      <c r="H23" s="11">
        <v>6</v>
      </c>
      <c r="I23" s="11">
        <v>144</v>
      </c>
      <c r="J23" s="11"/>
      <c r="K23" s="11">
        <f t="shared" si="0"/>
        <v>0</v>
      </c>
      <c r="L23" s="39">
        <f t="shared" si="1"/>
        <v>0</v>
      </c>
    </row>
    <row r="24" spans="1:12" s="7" customFormat="1" ht="19.5" hidden="1" customHeight="1" outlineLevel="1" x14ac:dyDescent="0.2">
      <c r="A24" s="7" t="s">
        <v>202</v>
      </c>
      <c r="C24" s="22"/>
      <c r="D24" s="22"/>
      <c r="E24" s="22"/>
      <c r="F24" s="22"/>
      <c r="G24" s="22"/>
      <c r="L24" s="43"/>
    </row>
    <row r="25" spans="1:12" s="5" customFormat="1" ht="15" hidden="1" outlineLevel="1" x14ac:dyDescent="0.2">
      <c r="A25" s="6" t="s">
        <v>32</v>
      </c>
      <c r="B25" s="6" t="s">
        <v>14</v>
      </c>
      <c r="C25" s="23">
        <v>719</v>
      </c>
      <c r="D25" s="26">
        <f>1*0.61*30.5*0.16</f>
        <v>2.9768000000000003</v>
      </c>
      <c r="E25" s="26">
        <f>1*0.61*30.5*0.16+0.32</f>
        <v>3.2968000000000002</v>
      </c>
      <c r="F25" s="27" t="s">
        <v>235</v>
      </c>
      <c r="G25" s="28">
        <f>0.107*0.107*0.63</f>
        <v>7.2128699999999997E-3</v>
      </c>
      <c r="H25" s="11">
        <v>1</v>
      </c>
      <c r="I25" s="11">
        <v>100</v>
      </c>
      <c r="J25" s="11"/>
      <c r="K25" s="11">
        <f t="shared" si="0"/>
        <v>0</v>
      </c>
      <c r="L25" s="39">
        <f t="shared" si="1"/>
        <v>0</v>
      </c>
    </row>
    <row r="26" spans="1:12" s="5" customFormat="1" ht="15" hidden="1" outlineLevel="1" x14ac:dyDescent="0.2">
      <c r="A26" s="6" t="s">
        <v>33</v>
      </c>
      <c r="B26" s="6" t="s">
        <v>34</v>
      </c>
      <c r="C26" s="23">
        <v>678</v>
      </c>
      <c r="D26" s="26">
        <f>1*0.61*30.5*0.16</f>
        <v>2.9768000000000003</v>
      </c>
      <c r="E26" s="26">
        <f>6*0.61*30.5*0.16+1.64</f>
        <v>19.500800000000002</v>
      </c>
      <c r="F26" s="27" t="s">
        <v>237</v>
      </c>
      <c r="G26" s="28">
        <f>0.29*0.195*0.625</f>
        <v>3.534375E-2</v>
      </c>
      <c r="H26" s="11">
        <v>6</v>
      </c>
      <c r="I26" s="11">
        <v>144</v>
      </c>
      <c r="J26" s="11"/>
      <c r="K26" s="11">
        <f t="shared" si="0"/>
        <v>0</v>
      </c>
      <c r="L26" s="39">
        <f t="shared" si="1"/>
        <v>0</v>
      </c>
    </row>
    <row r="27" spans="1:12" s="7" customFormat="1" ht="19.5" hidden="1" customHeight="1" outlineLevel="1" x14ac:dyDescent="0.2">
      <c r="A27" s="7" t="s">
        <v>203</v>
      </c>
      <c r="C27" s="22"/>
      <c r="D27" s="22"/>
      <c r="E27" s="22"/>
      <c r="F27" s="22"/>
      <c r="G27" s="22"/>
      <c r="L27" s="43"/>
    </row>
    <row r="28" spans="1:12" s="5" customFormat="1" ht="14.25" hidden="1" customHeight="1" outlineLevel="1" x14ac:dyDescent="0.2">
      <c r="A28" s="6" t="s">
        <v>224</v>
      </c>
      <c r="B28" s="6" t="s">
        <v>150</v>
      </c>
      <c r="C28" s="23">
        <v>836</v>
      </c>
      <c r="D28" s="26">
        <f>1*0.594*100*0.08</f>
        <v>4.7519999999999998</v>
      </c>
      <c r="E28" s="26">
        <f>1*0.594*100*0.08+0.35</f>
        <v>5.1019999999999994</v>
      </c>
      <c r="F28" s="27" t="s">
        <v>241</v>
      </c>
      <c r="G28" s="28">
        <f>0.635*0.145*0.145</f>
        <v>1.3350874999999998E-2</v>
      </c>
      <c r="H28" s="11">
        <v>1</v>
      </c>
      <c r="I28" s="11">
        <v>50</v>
      </c>
      <c r="J28" s="11"/>
      <c r="K28" s="11">
        <f t="shared" si="0"/>
        <v>0</v>
      </c>
      <c r="L28" s="39">
        <f t="shared" si="1"/>
        <v>0</v>
      </c>
    </row>
    <row r="29" spans="1:12" s="5" customFormat="1" ht="14.25" hidden="1" customHeight="1" outlineLevel="1" x14ac:dyDescent="0.2">
      <c r="A29" s="6" t="s">
        <v>225</v>
      </c>
      <c r="B29" s="6" t="s">
        <v>204</v>
      </c>
      <c r="C29" s="23">
        <v>882</v>
      </c>
      <c r="D29" s="26">
        <f>1*0.61*100*0.08</f>
        <v>4.88</v>
      </c>
      <c r="E29" s="26">
        <f>1*0.61*100*0.08+0.37</f>
        <v>5.25</v>
      </c>
      <c r="F29" s="27" t="s">
        <v>241</v>
      </c>
      <c r="G29" s="28">
        <f>0.635*0.145*0.145</f>
        <v>1.3350874999999998E-2</v>
      </c>
      <c r="H29" s="11">
        <v>1</v>
      </c>
      <c r="I29" s="11">
        <v>50</v>
      </c>
      <c r="J29" s="11"/>
      <c r="K29" s="11">
        <f t="shared" si="0"/>
        <v>0</v>
      </c>
      <c r="L29" s="39">
        <f t="shared" si="1"/>
        <v>0</v>
      </c>
    </row>
    <row r="30" spans="1:12" s="5" customFormat="1" ht="13.5" hidden="1" customHeight="1" outlineLevel="1" x14ac:dyDescent="0.2">
      <c r="A30" s="6" t="s">
        <v>226</v>
      </c>
      <c r="B30" s="6" t="s">
        <v>152</v>
      </c>
      <c r="C30" s="23">
        <v>1214</v>
      </c>
      <c r="D30" s="26">
        <f>1*0.841*100*0.08</f>
        <v>6.7279999999999998</v>
      </c>
      <c r="E30" s="26">
        <f>1*0.841*100*0.08+0.57</f>
        <v>7.298</v>
      </c>
      <c r="F30" s="27" t="s">
        <v>242</v>
      </c>
      <c r="G30" s="28">
        <f>0.865*0.145*0.145</f>
        <v>1.8186624999999994E-2</v>
      </c>
      <c r="H30" s="11">
        <v>1</v>
      </c>
      <c r="I30" s="11">
        <v>50</v>
      </c>
      <c r="J30" s="11"/>
      <c r="K30" s="11">
        <f t="shared" si="0"/>
        <v>0</v>
      </c>
      <c r="L30" s="39">
        <f t="shared" si="1"/>
        <v>0</v>
      </c>
    </row>
    <row r="31" spans="1:12" s="5" customFormat="1" ht="13.5" hidden="1" customHeight="1" outlineLevel="1" x14ac:dyDescent="0.2">
      <c r="A31" s="6" t="s">
        <v>227</v>
      </c>
      <c r="B31" s="6" t="s">
        <v>205</v>
      </c>
      <c r="C31" s="23">
        <v>1377</v>
      </c>
      <c r="D31" s="26">
        <f>1*0.914*100*0.08</f>
        <v>7.3120000000000003</v>
      </c>
      <c r="E31" s="26">
        <f>1*0.914*100*0.08+0.59</f>
        <v>7.9020000000000001</v>
      </c>
      <c r="F31" s="27" t="s">
        <v>243</v>
      </c>
      <c r="G31" s="28">
        <f>0.945*0.145*0.145</f>
        <v>1.9868624999999997E-2</v>
      </c>
      <c r="H31" s="11">
        <v>1</v>
      </c>
      <c r="I31" s="11">
        <v>50</v>
      </c>
      <c r="J31" s="11"/>
      <c r="K31" s="11">
        <f t="shared" si="0"/>
        <v>0</v>
      </c>
      <c r="L31" s="39">
        <f t="shared" si="1"/>
        <v>0</v>
      </c>
    </row>
    <row r="32" spans="1:12" s="7" customFormat="1" ht="19.5" hidden="1" customHeight="1" outlineLevel="1" x14ac:dyDescent="0.2">
      <c r="A32" s="7" t="s">
        <v>206</v>
      </c>
      <c r="C32" s="22"/>
      <c r="D32" s="22"/>
      <c r="E32" s="22"/>
      <c r="F32" s="22"/>
      <c r="G32" s="22"/>
      <c r="L32" s="43"/>
    </row>
    <row r="33" spans="1:12" s="5" customFormat="1" ht="15" hidden="1" outlineLevel="1" x14ac:dyDescent="0.25">
      <c r="A33" s="6" t="s">
        <v>89</v>
      </c>
      <c r="B33" s="6" t="s">
        <v>3</v>
      </c>
      <c r="C33" s="23">
        <v>530</v>
      </c>
      <c r="D33" s="26">
        <f>1*0.61*45.7*0.0835</f>
        <v>2.3277295000000002</v>
      </c>
      <c r="E33" s="26">
        <f>1*0.61*45.7*0.0835+0.34</f>
        <v>2.6677295000000001</v>
      </c>
      <c r="F33" s="33" t="s">
        <v>336</v>
      </c>
      <c r="G33" s="33">
        <f>0.115*0.115*0.65</f>
        <v>8.5962500000000015E-3</v>
      </c>
      <c r="H33" s="23">
        <v>1</v>
      </c>
      <c r="I33" s="23">
        <v>120</v>
      </c>
      <c r="J33" s="11"/>
      <c r="K33" s="11">
        <f t="shared" si="0"/>
        <v>0</v>
      </c>
      <c r="L33" s="39">
        <f>J33*G33</f>
        <v>0</v>
      </c>
    </row>
    <row r="34" spans="1:12" s="5" customFormat="1" ht="15" hidden="1" outlineLevel="1" x14ac:dyDescent="0.25">
      <c r="A34" s="6" t="s">
        <v>90</v>
      </c>
      <c r="B34" s="6" t="s">
        <v>5</v>
      </c>
      <c r="C34" s="23">
        <v>796</v>
      </c>
      <c r="D34" s="26">
        <f>1*0.914*45.7*0.0835</f>
        <v>3.4877783000000004</v>
      </c>
      <c r="E34" s="26">
        <f>1*0.914*45.7*0.0835+0.54</f>
        <v>4.0277783000000005</v>
      </c>
      <c r="F34" s="33" t="s">
        <v>337</v>
      </c>
      <c r="G34" s="33">
        <f>0.115*0.115*0.955</f>
        <v>1.2629875E-2</v>
      </c>
      <c r="H34" s="23">
        <v>1</v>
      </c>
      <c r="I34" s="23">
        <v>100</v>
      </c>
      <c r="J34" s="11"/>
      <c r="K34" s="11">
        <f t="shared" si="0"/>
        <v>0</v>
      </c>
      <c r="L34" s="39">
        <f t="shared" si="1"/>
        <v>0</v>
      </c>
    </row>
    <row r="35" spans="1:12" s="5" customFormat="1" ht="15" hidden="1" outlineLevel="1" x14ac:dyDescent="0.25">
      <c r="A35" s="6" t="s">
        <v>91</v>
      </c>
      <c r="B35" s="6" t="s">
        <v>7</v>
      </c>
      <c r="C35" s="23">
        <v>928</v>
      </c>
      <c r="D35" s="26">
        <f>1*1.067*45.7*0.0835</f>
        <v>4.0716186499999996</v>
      </c>
      <c r="E35" s="26">
        <f>1*1.067*45.7*0.0835+0.6</f>
        <v>4.6716186499999992</v>
      </c>
      <c r="F35" s="33" t="s">
        <v>339</v>
      </c>
      <c r="G35" s="28">
        <f>0.115*0.115*1.11</f>
        <v>1.4679750000000002E-2</v>
      </c>
      <c r="H35" s="11">
        <v>1</v>
      </c>
      <c r="I35" s="11">
        <v>70</v>
      </c>
      <c r="J35" s="11"/>
      <c r="K35" s="11">
        <f t="shared" si="0"/>
        <v>0</v>
      </c>
      <c r="L35" s="39">
        <f t="shared" si="1"/>
        <v>0</v>
      </c>
    </row>
    <row r="36" spans="1:12" s="7" customFormat="1" ht="19.5" hidden="1" customHeight="1" outlineLevel="1" x14ac:dyDescent="0.2">
      <c r="A36" s="7" t="s">
        <v>208</v>
      </c>
      <c r="C36" s="22"/>
      <c r="D36" s="22"/>
      <c r="E36" s="22"/>
      <c r="F36" s="22"/>
      <c r="G36" s="22"/>
      <c r="L36" s="43"/>
    </row>
    <row r="37" spans="1:12" s="5" customFormat="1" ht="15" hidden="1" outlineLevel="1" x14ac:dyDescent="0.2">
      <c r="A37" s="6" t="s">
        <v>209</v>
      </c>
      <c r="B37" s="6" t="s">
        <v>210</v>
      </c>
      <c r="C37" s="23">
        <v>592</v>
      </c>
      <c r="D37" s="26">
        <f>1*0.297*150*0.08</f>
        <v>3.5640000000000001</v>
      </c>
      <c r="E37" s="26">
        <f>4*0.297*150*0.08+1.544</f>
        <v>15.8</v>
      </c>
      <c r="F37" s="27" t="s">
        <v>244</v>
      </c>
      <c r="G37" s="28">
        <f>0.635*0.325*0.165</f>
        <v>3.4051875000000002E-2</v>
      </c>
      <c r="H37" s="11">
        <v>4</v>
      </c>
      <c r="I37" s="11">
        <v>72</v>
      </c>
      <c r="J37" s="11"/>
      <c r="K37" s="11">
        <f t="shared" si="0"/>
        <v>0</v>
      </c>
      <c r="L37" s="39">
        <f t="shared" si="1"/>
        <v>0</v>
      </c>
    </row>
    <row r="38" spans="1:12" s="5" customFormat="1" ht="15" hidden="1" outlineLevel="1" x14ac:dyDescent="0.2">
      <c r="A38" s="6" t="s">
        <v>211</v>
      </c>
      <c r="B38" s="6" t="s">
        <v>212</v>
      </c>
      <c r="C38" s="23">
        <v>765</v>
      </c>
      <c r="D38" s="26">
        <f>1*0.42*150*0.08</f>
        <v>5.04</v>
      </c>
      <c r="E38" s="26">
        <f>4*0.42*150*0.08+1.84</f>
        <v>22</v>
      </c>
      <c r="F38" s="27" t="s">
        <v>245</v>
      </c>
      <c r="G38" s="28">
        <f>0.855*0.325*0.165</f>
        <v>4.5849374999999998E-2</v>
      </c>
      <c r="H38" s="11">
        <v>4</v>
      </c>
      <c r="I38" s="11">
        <v>56</v>
      </c>
      <c r="J38" s="11"/>
      <c r="K38" s="11">
        <f t="shared" si="0"/>
        <v>0</v>
      </c>
      <c r="L38" s="39">
        <f t="shared" si="1"/>
        <v>0</v>
      </c>
    </row>
    <row r="39" spans="1:12" s="9" customFormat="1" ht="15" hidden="1" outlineLevel="1" x14ac:dyDescent="0.2">
      <c r="A39" s="6" t="s">
        <v>213</v>
      </c>
      <c r="B39" s="6" t="s">
        <v>214</v>
      </c>
      <c r="C39" s="23">
        <v>1030</v>
      </c>
      <c r="D39" s="26">
        <f>1*0.594*150*0.08</f>
        <v>7.1280000000000001</v>
      </c>
      <c r="E39" s="26">
        <f>2*0.594*150*0.08+1.244</f>
        <v>15.5</v>
      </c>
      <c r="F39" s="27" t="s">
        <v>244</v>
      </c>
      <c r="G39" s="28">
        <f>0.635*0.325*0.165</f>
        <v>3.4051875000000002E-2</v>
      </c>
      <c r="H39" s="11">
        <v>2</v>
      </c>
      <c r="I39" s="11">
        <v>36</v>
      </c>
      <c r="J39" s="11"/>
      <c r="K39" s="11">
        <f t="shared" si="0"/>
        <v>0</v>
      </c>
      <c r="L39" s="39">
        <f t="shared" si="1"/>
        <v>0</v>
      </c>
    </row>
    <row r="40" spans="1:12" s="5" customFormat="1" ht="15" hidden="1" outlineLevel="1" x14ac:dyDescent="0.2">
      <c r="A40" s="6" t="s">
        <v>215</v>
      </c>
      <c r="B40" s="6" t="s">
        <v>216</v>
      </c>
      <c r="C40" s="23">
        <v>1040</v>
      </c>
      <c r="D40" s="26">
        <f>1*0.62*150*0.08</f>
        <v>7.44</v>
      </c>
      <c r="E40" s="26">
        <f>2*0.62*150*0.08+0.92</f>
        <v>15.8</v>
      </c>
      <c r="F40" s="27" t="s">
        <v>244</v>
      </c>
      <c r="G40" s="28">
        <f>0.635*0.325*0.165</f>
        <v>3.4051875000000002E-2</v>
      </c>
      <c r="H40" s="11">
        <v>2</v>
      </c>
      <c r="I40" s="11">
        <v>36</v>
      </c>
      <c r="J40" s="11"/>
      <c r="K40" s="11">
        <f t="shared" si="0"/>
        <v>0</v>
      </c>
      <c r="L40" s="39">
        <f t="shared" si="1"/>
        <v>0</v>
      </c>
    </row>
    <row r="41" spans="1:12" s="5" customFormat="1" ht="15" hidden="1" outlineLevel="1" x14ac:dyDescent="0.2">
      <c r="A41" s="6" t="s">
        <v>217</v>
      </c>
      <c r="B41" s="6" t="s">
        <v>218</v>
      </c>
      <c r="C41" s="23">
        <v>1316</v>
      </c>
      <c r="D41" s="26">
        <f>1*0.841*150*0.08</f>
        <v>10.091999999999999</v>
      </c>
      <c r="E41" s="26">
        <f>2*0.841*150*0.08+1.916</f>
        <v>22.099999999999998</v>
      </c>
      <c r="F41" s="27" t="s">
        <v>245</v>
      </c>
      <c r="G41" s="28">
        <f>0.855*0.325*0.165</f>
        <v>4.5849374999999998E-2</v>
      </c>
      <c r="H41" s="11">
        <v>2</v>
      </c>
      <c r="I41" s="11">
        <v>28</v>
      </c>
      <c r="J41" s="11"/>
      <c r="K41" s="11">
        <f t="shared" si="0"/>
        <v>0</v>
      </c>
      <c r="L41" s="39">
        <f t="shared" si="1"/>
        <v>0</v>
      </c>
    </row>
    <row r="42" spans="1:12" s="5" customFormat="1" ht="15" hidden="1" outlineLevel="1" x14ac:dyDescent="0.2">
      <c r="A42" s="6" t="s">
        <v>219</v>
      </c>
      <c r="B42" s="6" t="s">
        <v>220</v>
      </c>
      <c r="C42" s="23">
        <v>1489</v>
      </c>
      <c r="D42" s="26">
        <f>1*0.914*150*0.08</f>
        <v>10.968</v>
      </c>
      <c r="E42" s="26">
        <f>2*0.914*150*0.08+1.864</f>
        <v>23.8</v>
      </c>
      <c r="F42" s="27" t="s">
        <v>246</v>
      </c>
      <c r="G42" s="28">
        <f>0.94*0.325*0.165</f>
        <v>5.0407500000000001E-2</v>
      </c>
      <c r="H42" s="11">
        <v>2</v>
      </c>
      <c r="I42" s="11">
        <v>28</v>
      </c>
      <c r="J42" s="11"/>
      <c r="K42" s="11">
        <f t="shared" si="0"/>
        <v>0</v>
      </c>
      <c r="L42" s="39">
        <f t="shared" si="1"/>
        <v>0</v>
      </c>
    </row>
    <row r="43" spans="1:12" s="7" customFormat="1" ht="19.5" hidden="1" customHeight="1" outlineLevel="1" x14ac:dyDescent="0.2">
      <c r="A43" s="7" t="s">
        <v>207</v>
      </c>
      <c r="C43" s="22"/>
      <c r="D43" s="22"/>
      <c r="E43" s="22"/>
      <c r="F43" s="22"/>
      <c r="G43" s="22"/>
      <c r="L43" s="43"/>
    </row>
    <row r="44" spans="1:12" s="5" customFormat="1" ht="15" hidden="1" outlineLevel="1" x14ac:dyDescent="0.2">
      <c r="A44" s="6" t="s">
        <v>256</v>
      </c>
      <c r="B44" s="6" t="s">
        <v>15</v>
      </c>
      <c r="C44" s="23">
        <v>653</v>
      </c>
      <c r="D44" s="26">
        <f>1*0.297*175*0.08</f>
        <v>4.1579999999999995</v>
      </c>
      <c r="E44" s="26">
        <f>4*0.297*175*0.08+1.668</f>
        <v>18.299999999999997</v>
      </c>
      <c r="F44" s="27" t="s">
        <v>247</v>
      </c>
      <c r="G44" s="28">
        <f>0.635*0.345*0.175</f>
        <v>3.8338124999999994E-2</v>
      </c>
      <c r="H44" s="11">
        <v>4</v>
      </c>
      <c r="I44" s="11">
        <v>72</v>
      </c>
      <c r="J44" s="11"/>
      <c r="K44" s="11">
        <f t="shared" si="0"/>
        <v>0</v>
      </c>
      <c r="L44" s="39">
        <f t="shared" si="1"/>
        <v>0</v>
      </c>
    </row>
    <row r="45" spans="1:12" s="5" customFormat="1" ht="15" hidden="1" outlineLevel="1" x14ac:dyDescent="0.2">
      <c r="A45" s="6" t="s">
        <v>257</v>
      </c>
      <c r="B45" s="6" t="s">
        <v>16</v>
      </c>
      <c r="C45" s="23">
        <v>847</v>
      </c>
      <c r="D45" s="26">
        <f>1*0.42*175*0.08</f>
        <v>5.88</v>
      </c>
      <c r="E45" s="26">
        <f>4*0.42*175*0.08+1.48</f>
        <v>25</v>
      </c>
      <c r="F45" s="27" t="s">
        <v>248</v>
      </c>
      <c r="G45" s="28">
        <f>0.855*0.345*0.175</f>
        <v>5.1620624999999996E-2</v>
      </c>
      <c r="H45" s="11">
        <v>4</v>
      </c>
      <c r="I45" s="11">
        <v>56</v>
      </c>
      <c r="J45" s="11"/>
      <c r="K45" s="11">
        <f t="shared" si="0"/>
        <v>0</v>
      </c>
      <c r="L45" s="39">
        <f t="shared" si="1"/>
        <v>0</v>
      </c>
    </row>
    <row r="46" spans="1:12" s="9" customFormat="1" ht="15" hidden="1" outlineLevel="1" x14ac:dyDescent="0.2">
      <c r="A46" s="6" t="s">
        <v>258</v>
      </c>
      <c r="B46" s="6" t="s">
        <v>17</v>
      </c>
      <c r="C46" s="23">
        <v>1142</v>
      </c>
      <c r="D46" s="26">
        <f>1*0.594*175*0.08</f>
        <v>8.3159999999999989</v>
      </c>
      <c r="E46" s="26">
        <f>2*0.594*175*0.08+1.368</f>
        <v>17.999999999999996</v>
      </c>
      <c r="F46" s="27" t="s">
        <v>247</v>
      </c>
      <c r="G46" s="28">
        <f>0.635*0.345*0.175</f>
        <v>3.8338124999999994E-2</v>
      </c>
      <c r="H46" s="11">
        <v>2</v>
      </c>
      <c r="I46" s="11">
        <v>36</v>
      </c>
      <c r="J46" s="11"/>
      <c r="K46" s="11">
        <f t="shared" si="0"/>
        <v>0</v>
      </c>
      <c r="L46" s="39">
        <f t="shared" si="1"/>
        <v>0</v>
      </c>
    </row>
    <row r="47" spans="1:12" s="5" customFormat="1" ht="15" hidden="1" outlineLevel="1" x14ac:dyDescent="0.2">
      <c r="A47" s="6" t="s">
        <v>259</v>
      </c>
      <c r="B47" s="6" t="s">
        <v>18</v>
      </c>
      <c r="C47" s="23">
        <v>1153</v>
      </c>
      <c r="D47" s="26">
        <f>1*0.62*175*0.08</f>
        <v>8.68</v>
      </c>
      <c r="E47" s="26">
        <f>2*0.62*175*0.08+0.84</f>
        <v>18.2</v>
      </c>
      <c r="F47" s="27" t="s">
        <v>247</v>
      </c>
      <c r="G47" s="28">
        <f>0.635*0.345*0.175</f>
        <v>3.8338124999999994E-2</v>
      </c>
      <c r="H47" s="11">
        <v>2</v>
      </c>
      <c r="I47" s="11">
        <v>36</v>
      </c>
      <c r="J47" s="11"/>
      <c r="K47" s="11">
        <f t="shared" si="0"/>
        <v>0</v>
      </c>
      <c r="L47" s="39">
        <f t="shared" si="1"/>
        <v>0</v>
      </c>
    </row>
    <row r="48" spans="1:12" s="5" customFormat="1" ht="15" hidden="1" outlineLevel="1" x14ac:dyDescent="0.2">
      <c r="A48" s="6" t="s">
        <v>260</v>
      </c>
      <c r="B48" s="6" t="s">
        <v>79</v>
      </c>
      <c r="C48" s="23">
        <v>1469</v>
      </c>
      <c r="D48" s="26">
        <f>1*0.841*175*0.08</f>
        <v>11.773999999999999</v>
      </c>
      <c r="E48" s="26">
        <f>2*0.841*175*0.08+1.752</f>
        <v>25.299999999999997</v>
      </c>
      <c r="F48" s="27" t="s">
        <v>248</v>
      </c>
      <c r="G48" s="28">
        <f>0.855*0.345*0.175</f>
        <v>5.1620624999999996E-2</v>
      </c>
      <c r="H48" s="11">
        <v>2</v>
      </c>
      <c r="I48" s="11">
        <v>28</v>
      </c>
      <c r="J48" s="11"/>
      <c r="K48" s="11">
        <f t="shared" si="0"/>
        <v>0</v>
      </c>
      <c r="L48" s="39">
        <f t="shared" si="1"/>
        <v>0</v>
      </c>
    </row>
    <row r="49" spans="1:12" s="5" customFormat="1" ht="15" hidden="1" outlineLevel="1" x14ac:dyDescent="0.2">
      <c r="A49" s="6" t="s">
        <v>66</v>
      </c>
      <c r="B49" s="6" t="s">
        <v>19</v>
      </c>
      <c r="C49" s="23">
        <v>1663</v>
      </c>
      <c r="D49" s="26">
        <f>1*0.914*175*0.08</f>
        <v>12.796000000000001</v>
      </c>
      <c r="E49" s="26">
        <f>1*0.914*175*0.08+1.304</f>
        <v>14.100000000000001</v>
      </c>
      <c r="F49" s="27" t="s">
        <v>249</v>
      </c>
      <c r="G49" s="28">
        <f>0.94*0.185*0.185</f>
        <v>3.2171499999999999E-2</v>
      </c>
      <c r="H49" s="11">
        <v>1</v>
      </c>
      <c r="I49" s="11">
        <v>28</v>
      </c>
      <c r="J49" s="11"/>
      <c r="K49" s="11">
        <f t="shared" si="0"/>
        <v>0</v>
      </c>
      <c r="L49" s="39">
        <f t="shared" si="1"/>
        <v>0</v>
      </c>
    </row>
    <row r="50" spans="1:12" s="7" customFormat="1" ht="19.5" hidden="1" customHeight="1" outlineLevel="1" x14ac:dyDescent="0.2">
      <c r="A50" s="7" t="s">
        <v>228</v>
      </c>
      <c r="C50" s="22"/>
      <c r="D50" s="22"/>
      <c r="E50" s="22"/>
      <c r="F50" s="22"/>
      <c r="G50" s="22"/>
      <c r="L50" s="43"/>
    </row>
    <row r="51" spans="1:12" s="5" customFormat="1" ht="15" hidden="1" outlineLevel="1" x14ac:dyDescent="0.2">
      <c r="A51" s="6" t="s">
        <v>83</v>
      </c>
      <c r="B51" s="6" t="s">
        <v>15</v>
      </c>
      <c r="C51" s="23">
        <v>796</v>
      </c>
      <c r="D51" s="26">
        <f>1*0.297*175*0.083</f>
        <v>4.3139249999999993</v>
      </c>
      <c r="E51" s="26">
        <f>2*0.297*175*0.083+0.572</f>
        <v>9.1998499999999979</v>
      </c>
      <c r="F51" s="27" t="s">
        <v>250</v>
      </c>
      <c r="G51" s="28">
        <f>0.645*0.185*0.185</f>
        <v>2.2075125000000001E-2</v>
      </c>
      <c r="H51" s="11">
        <v>2</v>
      </c>
      <c r="I51" s="11">
        <v>72</v>
      </c>
      <c r="J51" s="11"/>
      <c r="K51" s="11">
        <f t="shared" si="0"/>
        <v>0</v>
      </c>
      <c r="L51" s="39">
        <f t="shared" si="1"/>
        <v>0</v>
      </c>
    </row>
    <row r="52" spans="1:12" s="5" customFormat="1" ht="15" hidden="1" outlineLevel="1" x14ac:dyDescent="0.2">
      <c r="A52" s="6" t="s">
        <v>84</v>
      </c>
      <c r="B52" s="6" t="s">
        <v>16</v>
      </c>
      <c r="C52" s="23">
        <v>1010</v>
      </c>
      <c r="D52" s="26">
        <f>1*0.42*175*0.083</f>
        <v>6.1005000000000003</v>
      </c>
      <c r="E52" s="26">
        <f>2*0.42*175*0.083+1.199</f>
        <v>13.4</v>
      </c>
      <c r="F52" s="27" t="s">
        <v>251</v>
      </c>
      <c r="G52" s="28">
        <f>0.865*0.185*0.185</f>
        <v>2.9604624999999999E-2</v>
      </c>
      <c r="H52" s="11">
        <v>2</v>
      </c>
      <c r="I52" s="11">
        <v>56</v>
      </c>
      <c r="J52" s="11"/>
      <c r="K52" s="11">
        <f t="shared" si="0"/>
        <v>0</v>
      </c>
      <c r="L52" s="39">
        <f t="shared" si="1"/>
        <v>0</v>
      </c>
    </row>
    <row r="53" spans="1:12" s="5" customFormat="1" ht="15" hidden="1" outlineLevel="1" x14ac:dyDescent="0.2">
      <c r="A53" s="6" t="s">
        <v>85</v>
      </c>
      <c r="B53" s="6" t="s">
        <v>17</v>
      </c>
      <c r="C53" s="23">
        <v>1438</v>
      </c>
      <c r="D53" s="26">
        <f>1*0.594*175*0.083</f>
        <v>8.6278499999999987</v>
      </c>
      <c r="E53" s="26">
        <f>1*0.594*175*0.083+0.572</f>
        <v>9.1998499999999979</v>
      </c>
      <c r="F53" s="27" t="s">
        <v>250</v>
      </c>
      <c r="G53" s="28">
        <f>0.645*0.185*0.185</f>
        <v>2.2075125000000001E-2</v>
      </c>
      <c r="H53" s="11">
        <v>1</v>
      </c>
      <c r="I53" s="11">
        <v>36</v>
      </c>
      <c r="J53" s="11"/>
      <c r="K53" s="11">
        <f t="shared" si="0"/>
        <v>0</v>
      </c>
      <c r="L53" s="39">
        <f t="shared" si="1"/>
        <v>0</v>
      </c>
    </row>
    <row r="54" spans="1:12" s="5" customFormat="1" ht="15" hidden="1" outlineLevel="1" x14ac:dyDescent="0.2">
      <c r="A54" s="6" t="s">
        <v>86</v>
      </c>
      <c r="B54" s="6" t="s">
        <v>18</v>
      </c>
      <c r="C54" s="23">
        <v>1448</v>
      </c>
      <c r="D54" s="26">
        <f>1*0.62*175*0.083</f>
        <v>9.0054999999999996</v>
      </c>
      <c r="E54" s="26">
        <f>1*0.62*175*0.083+0.594</f>
        <v>9.599499999999999</v>
      </c>
      <c r="F54" s="27" t="s">
        <v>250</v>
      </c>
      <c r="G54" s="28">
        <f>0.645*0.185*0.185</f>
        <v>2.2075125000000001E-2</v>
      </c>
      <c r="H54" s="11">
        <v>1</v>
      </c>
      <c r="I54" s="11">
        <v>36</v>
      </c>
      <c r="J54" s="11"/>
      <c r="K54" s="11">
        <f t="shared" si="0"/>
        <v>0</v>
      </c>
      <c r="L54" s="39">
        <f t="shared" si="1"/>
        <v>0</v>
      </c>
    </row>
    <row r="55" spans="1:12" s="5" customFormat="1" ht="15" hidden="1" outlineLevel="1" x14ac:dyDescent="0.2">
      <c r="A55" s="6" t="s">
        <v>87</v>
      </c>
      <c r="B55" s="6" t="s">
        <v>79</v>
      </c>
      <c r="C55" s="23">
        <v>1928</v>
      </c>
      <c r="D55" s="26">
        <f>1*0.841*175*0.083</f>
        <v>12.215525</v>
      </c>
      <c r="E55" s="26">
        <f>1*0.841*175*0.083+1.284</f>
        <v>13.499525</v>
      </c>
      <c r="F55" s="27" t="s">
        <v>251</v>
      </c>
      <c r="G55" s="28">
        <f>0.865*0.185*0.185</f>
        <v>2.9604624999999999E-2</v>
      </c>
      <c r="H55" s="11">
        <v>1</v>
      </c>
      <c r="I55" s="11">
        <v>28</v>
      </c>
      <c r="J55" s="11"/>
      <c r="K55" s="11">
        <f t="shared" si="0"/>
        <v>0</v>
      </c>
      <c r="L55" s="39">
        <f t="shared" si="1"/>
        <v>0</v>
      </c>
    </row>
    <row r="56" spans="1:12" s="5" customFormat="1" ht="15" hidden="1" outlineLevel="1" x14ac:dyDescent="0.2">
      <c r="A56" s="6" t="s">
        <v>88</v>
      </c>
      <c r="B56" s="6" t="s">
        <v>19</v>
      </c>
      <c r="C56" s="23">
        <v>2071</v>
      </c>
      <c r="D56" s="26">
        <f>1*0.914*175*0.083</f>
        <v>13.275850000000002</v>
      </c>
      <c r="E56" s="26">
        <f>1*0.914*175*0.083+1.324</f>
        <v>14.599850000000002</v>
      </c>
      <c r="F56" s="27" t="s">
        <v>249</v>
      </c>
      <c r="G56" s="28">
        <f>0.94*0.185*0.185</f>
        <v>3.2171499999999999E-2</v>
      </c>
      <c r="H56" s="11">
        <v>1</v>
      </c>
      <c r="I56" s="11">
        <v>28</v>
      </c>
      <c r="J56" s="11"/>
      <c r="K56" s="11">
        <f t="shared" si="0"/>
        <v>0</v>
      </c>
      <c r="L56" s="39">
        <f t="shared" si="1"/>
        <v>0</v>
      </c>
    </row>
    <row r="57" spans="1:12" s="7" customFormat="1" ht="19.5" hidden="1" customHeight="1" outlineLevel="1" x14ac:dyDescent="0.2">
      <c r="A57" s="7" t="s">
        <v>335</v>
      </c>
      <c r="C57" s="22"/>
      <c r="D57" s="22"/>
      <c r="E57" s="22"/>
      <c r="F57" s="22"/>
      <c r="G57" s="22"/>
      <c r="K57" s="35"/>
      <c r="L57" s="35"/>
    </row>
    <row r="58" spans="1:12" s="8" customFormat="1" ht="15" hidden="1" outlineLevel="1" x14ac:dyDescent="0.25">
      <c r="A58" s="6" t="s">
        <v>308</v>
      </c>
      <c r="B58" s="6" t="s">
        <v>309</v>
      </c>
      <c r="C58" s="23">
        <v>638</v>
      </c>
      <c r="D58" s="4">
        <f>1*0.61*30.5*0.09</f>
        <v>1.67445</v>
      </c>
      <c r="E58" s="46">
        <f>1*0.61*30.5*0.09+0.34</f>
        <v>2.0144500000000001</v>
      </c>
      <c r="F58" s="33" t="s">
        <v>235</v>
      </c>
      <c r="G58" s="33">
        <f>0.107*0.107*0.63</f>
        <v>7.2128699999999997E-3</v>
      </c>
      <c r="H58" s="11">
        <v>1</v>
      </c>
      <c r="I58" s="11">
        <v>140</v>
      </c>
      <c r="J58" s="23"/>
      <c r="K58" s="11">
        <f t="shared" si="0"/>
        <v>0</v>
      </c>
      <c r="L58" s="39">
        <f t="shared" si="1"/>
        <v>0</v>
      </c>
    </row>
    <row r="59" spans="1:12" s="5" customFormat="1" ht="15" hidden="1" outlineLevel="1" x14ac:dyDescent="0.25">
      <c r="A59" s="6" t="s">
        <v>310</v>
      </c>
      <c r="B59" s="6" t="s">
        <v>311</v>
      </c>
      <c r="C59" s="23">
        <v>871</v>
      </c>
      <c r="D59" s="4">
        <f>1*0.914*30.5*0.09</f>
        <v>2.5089300000000003</v>
      </c>
      <c r="E59" s="46">
        <f>1*0.914*30.5*0.09+0.54</f>
        <v>3.0489300000000004</v>
      </c>
      <c r="F59" s="33" t="s">
        <v>238</v>
      </c>
      <c r="G59" s="33">
        <f>0.107*0.107*0.935</f>
        <v>1.0704814999999999E-2</v>
      </c>
      <c r="H59" s="11">
        <v>1</v>
      </c>
      <c r="I59" s="11">
        <v>100</v>
      </c>
      <c r="J59" s="23"/>
      <c r="K59" s="11">
        <f t="shared" si="0"/>
        <v>0</v>
      </c>
      <c r="L59" s="39">
        <f t="shared" si="1"/>
        <v>0</v>
      </c>
    </row>
    <row r="60" spans="1:12" s="5" customFormat="1" ht="15" hidden="1" outlineLevel="1" x14ac:dyDescent="0.25">
      <c r="A60" s="6" t="s">
        <v>312</v>
      </c>
      <c r="B60" s="6" t="s">
        <v>313</v>
      </c>
      <c r="C60" s="23">
        <v>1111</v>
      </c>
      <c r="D60" s="26">
        <f>1*1.067*45.7*0.09</f>
        <v>4.3885709999999998</v>
      </c>
      <c r="E60" s="26">
        <f>1*1.067*45.7*0.09+0.6</f>
        <v>4.9885709999999994</v>
      </c>
      <c r="F60" s="33" t="s">
        <v>240</v>
      </c>
      <c r="G60" s="28">
        <f>0.107*0.107*1.087</f>
        <v>1.2445062999999999E-2</v>
      </c>
      <c r="H60" s="11">
        <v>1</v>
      </c>
      <c r="I60" s="11">
        <v>77</v>
      </c>
      <c r="J60" s="23"/>
      <c r="K60" s="11">
        <f t="shared" si="0"/>
        <v>0</v>
      </c>
      <c r="L60" s="39">
        <f t="shared" si="1"/>
        <v>0</v>
      </c>
    </row>
    <row r="61" spans="1:12" s="5" customFormat="1" ht="15" hidden="1" outlineLevel="1" x14ac:dyDescent="0.25">
      <c r="A61" s="6" t="s">
        <v>314</v>
      </c>
      <c r="B61" s="6" t="s">
        <v>315</v>
      </c>
      <c r="C61" s="23">
        <v>1472</v>
      </c>
      <c r="D61" s="26">
        <f>1*1.27*45.7*0.09</f>
        <v>5.2235100000000001</v>
      </c>
      <c r="E61" s="26">
        <f>1*1.27*45.7*0.09+0.7</f>
        <v>5.9235100000000003</v>
      </c>
      <c r="F61" s="33" t="s">
        <v>338</v>
      </c>
      <c r="G61" s="28">
        <f>0.115*0.115*1.31</f>
        <v>1.732475E-2</v>
      </c>
      <c r="H61" s="11">
        <v>1</v>
      </c>
      <c r="I61" s="11">
        <v>70</v>
      </c>
      <c r="J61" s="23"/>
      <c r="K61" s="11">
        <f t="shared" si="0"/>
        <v>0</v>
      </c>
      <c r="L61" s="39">
        <f t="shared" si="1"/>
        <v>0</v>
      </c>
    </row>
    <row r="62" spans="1:12" s="5" customFormat="1" ht="15" hidden="1" outlineLevel="1" x14ac:dyDescent="0.25">
      <c r="A62" s="6" t="s">
        <v>316</v>
      </c>
      <c r="B62" s="6" t="s">
        <v>12</v>
      </c>
      <c r="C62" s="23">
        <v>938</v>
      </c>
      <c r="D62" s="4">
        <f>1*0.61*30.5*0.12</f>
        <v>2.2326000000000001</v>
      </c>
      <c r="E62" s="46">
        <f>1*0.61*30.5*0.12+0.37</f>
        <v>2.6026000000000002</v>
      </c>
      <c r="F62" s="33" t="s">
        <v>235</v>
      </c>
      <c r="G62" s="33">
        <f>0.107*0.107*0.63</f>
        <v>7.2128699999999997E-3</v>
      </c>
      <c r="H62" s="11">
        <v>1</v>
      </c>
      <c r="I62" s="11">
        <v>140</v>
      </c>
      <c r="J62" s="23"/>
      <c r="K62" s="11">
        <f t="shared" si="0"/>
        <v>0</v>
      </c>
      <c r="L62" s="39">
        <f t="shared" si="1"/>
        <v>0</v>
      </c>
    </row>
    <row r="63" spans="1:12" s="5" customFormat="1" ht="15" hidden="1" outlineLevel="1" x14ac:dyDescent="0.25">
      <c r="A63" s="6" t="s">
        <v>317</v>
      </c>
      <c r="B63" s="6" t="s">
        <v>13</v>
      </c>
      <c r="C63" s="23">
        <v>1328</v>
      </c>
      <c r="D63" s="4">
        <f>1*0.914*30.5*0.12</f>
        <v>3.34524</v>
      </c>
      <c r="E63" s="46">
        <f>1*0.914*30.5*0.12+0.54</f>
        <v>3.88524</v>
      </c>
      <c r="F63" s="33" t="s">
        <v>238</v>
      </c>
      <c r="G63" s="33">
        <f>0.107*0.107*0.935</f>
        <v>1.0704814999999999E-2</v>
      </c>
      <c r="H63" s="11">
        <v>1</v>
      </c>
      <c r="I63" s="11">
        <v>100</v>
      </c>
      <c r="J63" s="23"/>
      <c r="K63" s="11">
        <f t="shared" si="0"/>
        <v>0</v>
      </c>
      <c r="L63" s="39">
        <f t="shared" si="1"/>
        <v>0</v>
      </c>
    </row>
    <row r="64" spans="1:12" s="5" customFormat="1" ht="15" hidden="1" outlineLevel="1" x14ac:dyDescent="0.25">
      <c r="A64" s="6" t="s">
        <v>318</v>
      </c>
      <c r="B64" s="6" t="s">
        <v>319</v>
      </c>
      <c r="C64" s="23">
        <v>1550</v>
      </c>
      <c r="D64" s="26">
        <f>1*1.067*45.7*0.12</f>
        <v>5.8514279999999994</v>
      </c>
      <c r="E64" s="26">
        <f>1*1.067*45.7*0.12+0.6</f>
        <v>6.4514279999999991</v>
      </c>
      <c r="F64" s="33" t="s">
        <v>240</v>
      </c>
      <c r="G64" s="28">
        <f>0.107*0.107*1.087</f>
        <v>1.2445062999999999E-2</v>
      </c>
      <c r="H64" s="11">
        <v>1</v>
      </c>
      <c r="I64" s="11">
        <v>77</v>
      </c>
      <c r="J64" s="23"/>
      <c r="K64" s="11">
        <f t="shared" si="0"/>
        <v>0</v>
      </c>
      <c r="L64" s="39">
        <f t="shared" si="1"/>
        <v>0</v>
      </c>
    </row>
    <row r="65" spans="1:12" s="5" customFormat="1" ht="15" hidden="1" outlineLevel="1" x14ac:dyDescent="0.25">
      <c r="A65" s="6" t="s">
        <v>320</v>
      </c>
      <c r="B65" s="6" t="s">
        <v>321</v>
      </c>
      <c r="C65" s="23">
        <v>1850</v>
      </c>
      <c r="D65" s="26">
        <f>1*1.27*45.7*0.12</f>
        <v>6.9646799999999995</v>
      </c>
      <c r="E65" s="26">
        <f>1*1.27*45.7*0.12+0.7</f>
        <v>7.6646799999999997</v>
      </c>
      <c r="F65" s="33" t="s">
        <v>338</v>
      </c>
      <c r="G65" s="28">
        <f>0.115*0.115*1.31</f>
        <v>1.732475E-2</v>
      </c>
      <c r="H65" s="11">
        <v>1</v>
      </c>
      <c r="I65" s="11">
        <v>70</v>
      </c>
      <c r="J65" s="23"/>
      <c r="K65" s="11">
        <f t="shared" si="0"/>
        <v>0</v>
      </c>
      <c r="L65" s="39">
        <f t="shared" si="1"/>
        <v>0</v>
      </c>
    </row>
    <row r="66" spans="1:12" s="5" customFormat="1" ht="15" hidden="1" outlineLevel="1" x14ac:dyDescent="0.25">
      <c r="A66" s="6" t="s">
        <v>322</v>
      </c>
      <c r="B66" s="6" t="s">
        <v>294</v>
      </c>
      <c r="C66" s="23">
        <v>1265</v>
      </c>
      <c r="D66" s="4">
        <f>1*0.61*30.5*0.18</f>
        <v>3.3489</v>
      </c>
      <c r="E66" s="46">
        <f>1*0.61*30.5*0.18+0.37</f>
        <v>3.7189000000000001</v>
      </c>
      <c r="F66" s="33" t="s">
        <v>336</v>
      </c>
      <c r="G66" s="33">
        <f>0.115*0.115*0.65</f>
        <v>8.5962500000000015E-3</v>
      </c>
      <c r="H66" s="23">
        <v>1</v>
      </c>
      <c r="I66" s="23">
        <v>120</v>
      </c>
      <c r="J66" s="23"/>
      <c r="K66" s="11">
        <f t="shared" si="0"/>
        <v>0</v>
      </c>
      <c r="L66" s="39">
        <f t="shared" si="1"/>
        <v>0</v>
      </c>
    </row>
    <row r="67" spans="1:12" s="5" customFormat="1" ht="15" hidden="1" outlineLevel="1" x14ac:dyDescent="0.25">
      <c r="A67" s="6" t="s">
        <v>323</v>
      </c>
      <c r="B67" s="6" t="s">
        <v>295</v>
      </c>
      <c r="C67" s="23">
        <v>1786</v>
      </c>
      <c r="D67" s="4">
        <f>1*0.914*30.5*0.18</f>
        <v>5.0178600000000007</v>
      </c>
      <c r="E67" s="46">
        <f>1*0.914*30.5*0.18+0.54</f>
        <v>5.5578600000000007</v>
      </c>
      <c r="F67" s="33" t="s">
        <v>337</v>
      </c>
      <c r="G67" s="33">
        <f>0.115*0.115*0.955</f>
        <v>1.2629875E-2</v>
      </c>
      <c r="H67" s="23">
        <v>1</v>
      </c>
      <c r="I67" s="23">
        <v>100</v>
      </c>
      <c r="J67" s="23"/>
      <c r="K67" s="11">
        <f t="shared" si="0"/>
        <v>0</v>
      </c>
      <c r="L67" s="39">
        <f t="shared" si="1"/>
        <v>0</v>
      </c>
    </row>
    <row r="68" spans="1:12" s="5" customFormat="1" ht="15" hidden="1" outlineLevel="1" x14ac:dyDescent="0.25">
      <c r="A68" s="6" t="s">
        <v>324</v>
      </c>
      <c r="B68" s="6" t="s">
        <v>325</v>
      </c>
      <c r="C68" s="23">
        <v>2080</v>
      </c>
      <c r="D68" s="26">
        <f>1*1.067*45.7*0.18</f>
        <v>8.7771419999999996</v>
      </c>
      <c r="E68" s="26">
        <f>1*1.067*45.7*0.18+0.6</f>
        <v>9.3771419999999992</v>
      </c>
      <c r="F68" s="33" t="s">
        <v>339</v>
      </c>
      <c r="G68" s="28">
        <f>0.115*0.115*1.11</f>
        <v>1.4679750000000002E-2</v>
      </c>
      <c r="H68" s="11">
        <v>1</v>
      </c>
      <c r="I68" s="11">
        <v>70</v>
      </c>
      <c r="J68" s="23"/>
      <c r="K68" s="11">
        <f t="shared" si="0"/>
        <v>0</v>
      </c>
      <c r="L68" s="39">
        <f t="shared" si="1"/>
        <v>0</v>
      </c>
    </row>
    <row r="69" spans="1:12" s="5" customFormat="1" ht="15" hidden="1" outlineLevel="1" x14ac:dyDescent="0.25">
      <c r="A69" s="6" t="s">
        <v>326</v>
      </c>
      <c r="B69" s="6" t="s">
        <v>327</v>
      </c>
      <c r="C69" s="23">
        <v>2929</v>
      </c>
      <c r="D69" s="26">
        <f>1*1.27*45.7*0.18</f>
        <v>10.44702</v>
      </c>
      <c r="E69" s="26">
        <f>1*1.27*45.7*0.18+0.7</f>
        <v>11.147019999999999</v>
      </c>
      <c r="F69" s="33" t="s">
        <v>338</v>
      </c>
      <c r="G69" s="28">
        <f>0.115*0.115*1.31</f>
        <v>1.732475E-2</v>
      </c>
      <c r="H69" s="11">
        <v>1</v>
      </c>
      <c r="I69" s="11">
        <v>70</v>
      </c>
      <c r="J69" s="23"/>
      <c r="K69" s="11">
        <f t="shared" si="0"/>
        <v>0</v>
      </c>
      <c r="L69" s="39">
        <f t="shared" si="1"/>
        <v>0</v>
      </c>
    </row>
    <row r="70" spans="1:12" s="5" customFormat="1" ht="15" hidden="1" outlineLevel="1" x14ac:dyDescent="0.25">
      <c r="A70" s="6" t="s">
        <v>328</v>
      </c>
      <c r="B70" s="6" t="s">
        <v>297</v>
      </c>
      <c r="C70" s="23">
        <v>1898</v>
      </c>
      <c r="D70" s="4">
        <f>1*0.61*30.5*0.2</f>
        <v>3.7210000000000001</v>
      </c>
      <c r="E70" s="46">
        <f>1*0.61*30.5*0.2+0.37</f>
        <v>4.0910000000000002</v>
      </c>
      <c r="F70" s="33" t="s">
        <v>336</v>
      </c>
      <c r="G70" s="33">
        <f>0.115*0.115*0.65</f>
        <v>8.5962500000000015E-3</v>
      </c>
      <c r="H70" s="23">
        <v>1</v>
      </c>
      <c r="I70" s="23">
        <v>120</v>
      </c>
      <c r="J70" s="23"/>
      <c r="K70" s="11">
        <f t="shared" si="0"/>
        <v>0</v>
      </c>
      <c r="L70" s="39">
        <f t="shared" si="1"/>
        <v>0</v>
      </c>
    </row>
    <row r="71" spans="1:12" s="5" customFormat="1" ht="15" hidden="1" outlineLevel="1" x14ac:dyDescent="0.25">
      <c r="A71" s="6" t="s">
        <v>329</v>
      </c>
      <c r="B71" s="6" t="s">
        <v>296</v>
      </c>
      <c r="C71" s="23">
        <v>2679</v>
      </c>
      <c r="D71" s="4">
        <f>1*0.914*30.5*0.2</f>
        <v>5.575400000000001</v>
      </c>
      <c r="E71" s="46">
        <f>1*0.914*30.5*0.2+0.54</f>
        <v>6.1154000000000011</v>
      </c>
      <c r="F71" s="33" t="s">
        <v>337</v>
      </c>
      <c r="G71" s="33">
        <f>0.115*0.115*0.955</f>
        <v>1.2629875E-2</v>
      </c>
      <c r="H71" s="23">
        <v>1</v>
      </c>
      <c r="I71" s="23">
        <v>100</v>
      </c>
      <c r="J71" s="23"/>
      <c r="K71" s="11">
        <f t="shared" si="0"/>
        <v>0</v>
      </c>
      <c r="L71" s="39">
        <f t="shared" si="1"/>
        <v>0</v>
      </c>
    </row>
    <row r="72" spans="1:12" s="5" customFormat="1" ht="15" hidden="1" outlineLevel="1" x14ac:dyDescent="0.25">
      <c r="A72" s="6" t="s">
        <v>330</v>
      </c>
      <c r="B72" s="6" t="s">
        <v>331</v>
      </c>
      <c r="C72" s="23">
        <v>3120</v>
      </c>
      <c r="D72" s="26">
        <f>1*1.067*45.7*0.2</f>
        <v>9.7523800000000005</v>
      </c>
      <c r="E72" s="26">
        <f>1*1.067*45.7*0.2+0.6</f>
        <v>10.35238</v>
      </c>
      <c r="F72" s="33" t="s">
        <v>339</v>
      </c>
      <c r="G72" s="28">
        <f>0.115*0.115*1.11</f>
        <v>1.4679750000000002E-2</v>
      </c>
      <c r="H72" s="11">
        <v>1</v>
      </c>
      <c r="I72" s="11">
        <v>70</v>
      </c>
      <c r="J72" s="23"/>
      <c r="K72" s="11">
        <f t="shared" si="0"/>
        <v>0</v>
      </c>
      <c r="L72" s="39">
        <f t="shared" si="1"/>
        <v>0</v>
      </c>
    </row>
    <row r="73" spans="1:12" s="5" customFormat="1" ht="15" hidden="1" outlineLevel="1" x14ac:dyDescent="0.25">
      <c r="A73" s="6" t="s">
        <v>332</v>
      </c>
      <c r="B73" s="6" t="s">
        <v>333</v>
      </c>
      <c r="C73" s="23">
        <v>4394</v>
      </c>
      <c r="D73" s="26">
        <f>1*1.27*45.7*0.2</f>
        <v>11.607800000000001</v>
      </c>
      <c r="E73" s="26">
        <f>1*1.27*45.7*0.2+0.7</f>
        <v>12.3078</v>
      </c>
      <c r="F73" s="33" t="s">
        <v>338</v>
      </c>
      <c r="G73" s="28">
        <f>0.115*0.115*1.31</f>
        <v>1.732475E-2</v>
      </c>
      <c r="H73" s="11">
        <v>1</v>
      </c>
      <c r="I73" s="11">
        <v>70</v>
      </c>
      <c r="J73" s="23"/>
      <c r="K73" s="11">
        <f t="shared" si="0"/>
        <v>0</v>
      </c>
      <c r="L73" s="39">
        <f t="shared" si="1"/>
        <v>0</v>
      </c>
    </row>
    <row r="74" spans="1:12" s="5" customFormat="1" ht="11.25" hidden="1" outlineLevel="1" x14ac:dyDescent="0.2">
      <c r="A74" s="7" t="s">
        <v>334</v>
      </c>
      <c r="B74" s="7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s="5" customFormat="1" ht="15" hidden="1" outlineLevel="1" x14ac:dyDescent="0.2">
      <c r="A75" s="6" t="s">
        <v>298</v>
      </c>
      <c r="B75" s="6" t="s">
        <v>303</v>
      </c>
      <c r="C75" s="23">
        <v>6228</v>
      </c>
      <c r="D75" s="26">
        <f>1*0.914*175*0.09</f>
        <v>14.3955</v>
      </c>
      <c r="E75" s="26">
        <f>1*0.914*175*0.09+1.324</f>
        <v>15.7195</v>
      </c>
      <c r="F75" s="27" t="s">
        <v>249</v>
      </c>
      <c r="G75" s="28">
        <f>0.94*0.185*0.185</f>
        <v>3.2171499999999999E-2</v>
      </c>
      <c r="H75" s="11">
        <v>1</v>
      </c>
      <c r="I75" s="11">
        <v>28</v>
      </c>
      <c r="J75" s="45"/>
      <c r="K75" s="11">
        <f t="shared" si="0"/>
        <v>0</v>
      </c>
      <c r="L75" s="39">
        <f t="shared" si="1"/>
        <v>0</v>
      </c>
    </row>
    <row r="76" spans="1:12" s="5" customFormat="1" ht="15" hidden="1" outlineLevel="1" x14ac:dyDescent="0.2">
      <c r="A76" s="6" t="s">
        <v>299</v>
      </c>
      <c r="B76" s="6" t="s">
        <v>304</v>
      </c>
      <c r="C76" s="23">
        <v>7272</v>
      </c>
      <c r="D76" s="26">
        <f>1*1.016*175*0.09</f>
        <v>16.001999999999999</v>
      </c>
      <c r="E76" s="26">
        <f>1*1.016*175*0.09+1.324</f>
        <v>17.326000000000001</v>
      </c>
      <c r="F76" s="27" t="s">
        <v>340</v>
      </c>
      <c r="G76" s="28">
        <f>1.03*0.185*0.185</f>
        <v>3.5251749999999998E-2</v>
      </c>
      <c r="H76" s="11">
        <v>1</v>
      </c>
      <c r="I76" s="11">
        <v>28</v>
      </c>
      <c r="J76" s="45"/>
      <c r="K76" s="11">
        <f t="shared" si="0"/>
        <v>0</v>
      </c>
      <c r="L76" s="39">
        <f t="shared" si="1"/>
        <v>0</v>
      </c>
    </row>
    <row r="77" spans="1:12" s="5" customFormat="1" ht="15" hidden="1" outlineLevel="1" x14ac:dyDescent="0.25">
      <c r="A77" s="6" t="s">
        <v>300</v>
      </c>
      <c r="B77" s="6" t="s">
        <v>305</v>
      </c>
      <c r="C77" s="23">
        <v>5281</v>
      </c>
      <c r="D77" s="26">
        <f>1*1.016*90*0.12</f>
        <v>10.972799999999999</v>
      </c>
      <c r="E77" s="26">
        <f>1*1.016*90*0.12+1.324</f>
        <v>12.296799999999999</v>
      </c>
      <c r="F77" s="32" t="s">
        <v>341</v>
      </c>
      <c r="G77" s="33">
        <f>1.03*0.15*0.15</f>
        <v>2.3174999999999998E-2</v>
      </c>
      <c r="H77" s="11">
        <v>1</v>
      </c>
      <c r="I77" s="11">
        <v>28</v>
      </c>
      <c r="J77" s="45"/>
      <c r="K77" s="11">
        <f t="shared" si="0"/>
        <v>0</v>
      </c>
      <c r="L77" s="39">
        <f t="shared" si="1"/>
        <v>0</v>
      </c>
    </row>
    <row r="78" spans="1:12" s="5" customFormat="1" ht="15" hidden="1" outlineLevel="1" x14ac:dyDescent="0.25">
      <c r="A78" s="6" t="s">
        <v>301</v>
      </c>
      <c r="B78" s="6" t="s">
        <v>306</v>
      </c>
      <c r="C78" s="23">
        <v>4995</v>
      </c>
      <c r="D78" s="26">
        <f>1*1.016*60*0.18</f>
        <v>10.972799999999999</v>
      </c>
      <c r="E78" s="26">
        <f>1*1.016*60*0.18+1.324</f>
        <v>12.296799999999999</v>
      </c>
      <c r="F78" s="32" t="s">
        <v>341</v>
      </c>
      <c r="G78" s="33">
        <f>1.03*0.15*0.15</f>
        <v>2.3174999999999998E-2</v>
      </c>
      <c r="H78" s="23">
        <v>1</v>
      </c>
      <c r="I78" s="11">
        <v>28</v>
      </c>
      <c r="J78" s="45"/>
      <c r="K78" s="11">
        <f t="shared" si="0"/>
        <v>0</v>
      </c>
      <c r="L78" s="39">
        <f t="shared" si="1"/>
        <v>0</v>
      </c>
    </row>
    <row r="79" spans="1:12" s="5" customFormat="1" ht="15" hidden="1" outlineLevel="1" x14ac:dyDescent="0.25">
      <c r="A79" s="6" t="s">
        <v>302</v>
      </c>
      <c r="B79" s="6" t="s">
        <v>307</v>
      </c>
      <c r="C79" s="23">
        <v>6402</v>
      </c>
      <c r="D79" s="26">
        <f>1*1.016*60*0.2</f>
        <v>12.192</v>
      </c>
      <c r="E79" s="26">
        <f>1*1.016*60*0.2+1.324</f>
        <v>13.516</v>
      </c>
      <c r="F79" s="32" t="s">
        <v>341</v>
      </c>
      <c r="G79" s="33">
        <f>1.03*0.15*0.15</f>
        <v>2.3174999999999998E-2</v>
      </c>
      <c r="H79" s="23">
        <v>1</v>
      </c>
      <c r="I79" s="11">
        <v>28</v>
      </c>
      <c r="J79" s="45"/>
      <c r="K79" s="11">
        <f t="shared" si="0"/>
        <v>0</v>
      </c>
      <c r="L79" s="39">
        <f t="shared" si="1"/>
        <v>0</v>
      </c>
    </row>
    <row r="80" spans="1:12" s="13" customFormat="1" ht="23.1" customHeight="1" collapsed="1" x14ac:dyDescent="0.2">
      <c r="A80" s="13" t="s">
        <v>233</v>
      </c>
      <c r="C80" s="21"/>
      <c r="D80" s="36"/>
      <c r="E80" s="37"/>
      <c r="F80" s="37"/>
      <c r="G80" s="38"/>
      <c r="L80" s="42"/>
    </row>
    <row r="81" spans="1:12" s="7" customFormat="1" ht="19.5" hidden="1" customHeight="1" outlineLevel="1" x14ac:dyDescent="0.2">
      <c r="A81" s="7" t="s">
        <v>223</v>
      </c>
      <c r="C81" s="22"/>
      <c r="D81" s="34"/>
      <c r="E81" s="35"/>
      <c r="F81" s="35"/>
      <c r="L81" s="43"/>
    </row>
    <row r="82" spans="1:12" s="8" customFormat="1" ht="14.85" hidden="1" customHeight="1" outlineLevel="1" x14ac:dyDescent="0.25">
      <c r="A82" s="6" t="s">
        <v>153</v>
      </c>
      <c r="B82" s="6" t="s">
        <v>154</v>
      </c>
      <c r="C82" s="23">
        <v>3346</v>
      </c>
      <c r="D82" s="4">
        <f>1*0.62*175*0.055</f>
        <v>5.9675000000000002</v>
      </c>
      <c r="E82" s="26">
        <f>1*0.62*175*0.055+0.594</f>
        <v>6.5615000000000006</v>
      </c>
      <c r="F82" s="32" t="s">
        <v>250</v>
      </c>
      <c r="G82" s="33">
        <f t="shared" ref="G82" si="2">0.645*0.185*0.185</f>
        <v>2.2075125000000001E-2</v>
      </c>
      <c r="H82" s="11">
        <v>1</v>
      </c>
      <c r="I82" s="11"/>
      <c r="J82" s="11"/>
      <c r="K82" s="11">
        <f t="shared" si="0"/>
        <v>0</v>
      </c>
      <c r="L82" s="39">
        <f t="shared" si="1"/>
        <v>0</v>
      </c>
    </row>
    <row r="83" spans="1:12" s="8" customFormat="1" ht="14.85" hidden="1" customHeight="1" outlineLevel="1" x14ac:dyDescent="0.25">
      <c r="A83" s="6" t="s">
        <v>178</v>
      </c>
      <c r="B83" s="6" t="s">
        <v>179</v>
      </c>
      <c r="C83" s="23">
        <v>3815</v>
      </c>
      <c r="D83" s="4">
        <f>1*0.841*175*0.055</f>
        <v>8.0946249999999988</v>
      </c>
      <c r="E83" s="26">
        <f>1*0.841*175*0.055+1.284</f>
        <v>9.3786249999999995</v>
      </c>
      <c r="F83" s="32" t="s">
        <v>251</v>
      </c>
      <c r="G83" s="33">
        <f>0.865*0.185*0.185</f>
        <v>2.9604624999999999E-2</v>
      </c>
      <c r="H83" s="11">
        <v>1</v>
      </c>
      <c r="I83" s="11"/>
      <c r="J83" s="11"/>
      <c r="K83" s="11">
        <f t="shared" si="0"/>
        <v>0</v>
      </c>
      <c r="L83" s="39">
        <f t="shared" si="1"/>
        <v>0</v>
      </c>
    </row>
    <row r="84" spans="1:12" s="8" customFormat="1" ht="14.85" hidden="1" customHeight="1" outlineLevel="1" x14ac:dyDescent="0.25">
      <c r="A84" s="6" t="s">
        <v>155</v>
      </c>
      <c r="B84" s="6" t="s">
        <v>156</v>
      </c>
      <c r="C84" s="23">
        <v>4957</v>
      </c>
      <c r="D84" s="4">
        <f>1*0.914*175*0.055</f>
        <v>8.7972500000000018</v>
      </c>
      <c r="E84" s="26">
        <f>1*0.914*175*0.055+1.324</f>
        <v>10.121250000000002</v>
      </c>
      <c r="F84" s="32" t="s">
        <v>249</v>
      </c>
      <c r="G84" s="33">
        <f>0.94*0.185*0.185</f>
        <v>3.2171499999999999E-2</v>
      </c>
      <c r="H84" s="11">
        <v>1</v>
      </c>
      <c r="I84" s="11"/>
      <c r="J84" s="11"/>
      <c r="K84" s="11">
        <f t="shared" si="0"/>
        <v>0</v>
      </c>
      <c r="L84" s="39">
        <f t="shared" si="1"/>
        <v>0</v>
      </c>
    </row>
    <row r="85" spans="1:12" s="8" customFormat="1" ht="14.85" hidden="1" customHeight="1" outlineLevel="1" x14ac:dyDescent="0.25">
      <c r="A85" s="6" t="s">
        <v>157</v>
      </c>
      <c r="B85" s="6" t="s">
        <v>158</v>
      </c>
      <c r="C85" s="23">
        <v>3825</v>
      </c>
      <c r="D85" s="4">
        <f>1*0.62*175*0.06</f>
        <v>6.51</v>
      </c>
      <c r="E85" s="26">
        <f>1*0.62*175*0.06+0.594</f>
        <v>7.1040000000000001</v>
      </c>
      <c r="F85" s="32" t="s">
        <v>250</v>
      </c>
      <c r="G85" s="33">
        <f t="shared" ref="G85" si="3">0.645*0.185*0.185</f>
        <v>2.2075125000000001E-2</v>
      </c>
      <c r="H85" s="11">
        <v>1</v>
      </c>
      <c r="I85" s="11"/>
      <c r="J85" s="11"/>
      <c r="K85" s="11">
        <f t="shared" si="0"/>
        <v>0</v>
      </c>
      <c r="L85" s="39">
        <f t="shared" si="1"/>
        <v>0</v>
      </c>
    </row>
    <row r="86" spans="1:12" s="8" customFormat="1" ht="14.85" hidden="1" customHeight="1" outlineLevel="1" x14ac:dyDescent="0.25">
      <c r="A86" s="6" t="s">
        <v>180</v>
      </c>
      <c r="B86" s="6" t="s">
        <v>181</v>
      </c>
      <c r="C86" s="23">
        <v>5222</v>
      </c>
      <c r="D86" s="4">
        <f>1*0.841*175*0.06</f>
        <v>8.8304999999999989</v>
      </c>
      <c r="E86" s="26">
        <f>1*0.841*175*0.06+1.284</f>
        <v>10.1145</v>
      </c>
      <c r="F86" s="32" t="s">
        <v>251</v>
      </c>
      <c r="G86" s="33">
        <f>0.865*0.185*0.185</f>
        <v>2.9604624999999999E-2</v>
      </c>
      <c r="H86" s="11">
        <v>1</v>
      </c>
      <c r="I86" s="11"/>
      <c r="J86" s="11"/>
      <c r="K86" s="11">
        <f t="shared" ref="K86:K148" si="4">J86*D86</f>
        <v>0</v>
      </c>
      <c r="L86" s="39">
        <f t="shared" ref="L86:L148" si="5">J86*G86</f>
        <v>0</v>
      </c>
    </row>
    <row r="87" spans="1:12" s="8" customFormat="1" ht="14.85" hidden="1" customHeight="1" outlineLevel="1" x14ac:dyDescent="0.25">
      <c r="A87" s="6" t="s">
        <v>159</v>
      </c>
      <c r="B87" s="6" t="s">
        <v>160</v>
      </c>
      <c r="C87" s="23">
        <v>5998</v>
      </c>
      <c r="D87" s="4">
        <f>1*0.914*175*0.06</f>
        <v>9.5970000000000013</v>
      </c>
      <c r="E87" s="26">
        <f>1*0.914*175*0.06+1.324</f>
        <v>10.921000000000001</v>
      </c>
      <c r="F87" s="32" t="s">
        <v>249</v>
      </c>
      <c r="G87" s="33">
        <f>0.94*0.185*0.185</f>
        <v>3.2171499999999999E-2</v>
      </c>
      <c r="H87" s="11">
        <v>1</v>
      </c>
      <c r="I87" s="11"/>
      <c r="J87" s="11"/>
      <c r="K87" s="11">
        <f t="shared" si="4"/>
        <v>0</v>
      </c>
      <c r="L87" s="39">
        <f t="shared" si="5"/>
        <v>0</v>
      </c>
    </row>
    <row r="88" spans="1:12" s="8" customFormat="1" ht="14.85" hidden="1" customHeight="1" outlineLevel="1" x14ac:dyDescent="0.25">
      <c r="A88" s="6" t="s">
        <v>161</v>
      </c>
      <c r="B88" s="6" t="s">
        <v>162</v>
      </c>
      <c r="C88" s="23">
        <v>4723</v>
      </c>
      <c r="D88" s="4">
        <f>1*0.62*175*0.083</f>
        <v>9.0054999999999996</v>
      </c>
      <c r="E88" s="26">
        <f>1*0.62*175*0.083+0.594</f>
        <v>9.599499999999999</v>
      </c>
      <c r="F88" s="32" t="s">
        <v>250</v>
      </c>
      <c r="G88" s="33">
        <f t="shared" ref="G88" si="6">0.645*0.185*0.185</f>
        <v>2.2075125000000001E-2</v>
      </c>
      <c r="H88" s="11">
        <v>1</v>
      </c>
      <c r="I88" s="11"/>
      <c r="J88" s="11"/>
      <c r="K88" s="11">
        <f t="shared" si="4"/>
        <v>0</v>
      </c>
      <c r="L88" s="39">
        <f t="shared" si="5"/>
        <v>0</v>
      </c>
    </row>
    <row r="89" spans="1:12" s="8" customFormat="1" ht="14.85" hidden="1" customHeight="1" outlineLevel="1" x14ac:dyDescent="0.25">
      <c r="A89" s="6" t="s">
        <v>182</v>
      </c>
      <c r="B89" s="6" t="s">
        <v>79</v>
      </c>
      <c r="C89" s="23">
        <v>6253</v>
      </c>
      <c r="D89" s="4">
        <f>1*0.841*175*0.083</f>
        <v>12.215525</v>
      </c>
      <c r="E89" s="26">
        <f>1*0.841*175*0.083+1.284</f>
        <v>13.499525</v>
      </c>
      <c r="F89" s="32" t="s">
        <v>251</v>
      </c>
      <c r="G89" s="33">
        <f>0.865*0.185*0.185</f>
        <v>2.9604624999999999E-2</v>
      </c>
      <c r="H89" s="11">
        <v>1</v>
      </c>
      <c r="I89" s="11"/>
      <c r="J89" s="11"/>
      <c r="K89" s="11">
        <f t="shared" si="4"/>
        <v>0</v>
      </c>
      <c r="L89" s="39">
        <f t="shared" si="5"/>
        <v>0</v>
      </c>
    </row>
    <row r="90" spans="1:12" s="8" customFormat="1" ht="14.85" hidden="1" customHeight="1" outlineLevel="1" x14ac:dyDescent="0.25">
      <c r="A90" s="6" t="s">
        <v>163</v>
      </c>
      <c r="B90" s="6" t="s">
        <v>19</v>
      </c>
      <c r="C90" s="23">
        <v>8140</v>
      </c>
      <c r="D90" s="4">
        <f>1*0.914*175*0.083</f>
        <v>13.275850000000002</v>
      </c>
      <c r="E90" s="26">
        <f>1*0.914*175*0.083+1.324</f>
        <v>14.599850000000002</v>
      </c>
      <c r="F90" s="32" t="s">
        <v>249</v>
      </c>
      <c r="G90" s="33">
        <f>0.94*0.185*0.185</f>
        <v>3.2171499999999999E-2</v>
      </c>
      <c r="H90" s="11">
        <v>1</v>
      </c>
      <c r="I90" s="11"/>
      <c r="J90" s="11"/>
      <c r="K90" s="11">
        <f t="shared" si="4"/>
        <v>0</v>
      </c>
      <c r="L90" s="39">
        <f t="shared" si="5"/>
        <v>0</v>
      </c>
    </row>
    <row r="91" spans="1:12" s="7" customFormat="1" ht="19.5" hidden="1" customHeight="1" outlineLevel="1" x14ac:dyDescent="0.2">
      <c r="A91" s="7" t="s">
        <v>222</v>
      </c>
      <c r="C91" s="22"/>
      <c r="D91" s="34"/>
      <c r="E91" s="35"/>
      <c r="F91" s="35"/>
      <c r="L91" s="43"/>
    </row>
    <row r="92" spans="1:12" s="8" customFormat="1" ht="14.85" hidden="1" customHeight="1" outlineLevel="1" x14ac:dyDescent="0.25">
      <c r="A92" s="6" t="s">
        <v>61</v>
      </c>
      <c r="B92" s="6" t="s">
        <v>8</v>
      </c>
      <c r="C92" s="23">
        <v>1836</v>
      </c>
      <c r="D92" s="4">
        <f>1*0.61*45.7*0.09</f>
        <v>2.5089300000000003</v>
      </c>
      <c r="E92" s="26">
        <f>1*0.61*45.7*0.09+0.34</f>
        <v>2.8489300000000002</v>
      </c>
      <c r="F92" s="32" t="s">
        <v>235</v>
      </c>
      <c r="G92" s="33">
        <f>0.107*0.107*0.63</f>
        <v>7.2128699999999997E-3</v>
      </c>
      <c r="H92" s="11">
        <v>1</v>
      </c>
      <c r="I92" s="11"/>
      <c r="J92" s="11"/>
      <c r="K92" s="11">
        <f t="shared" si="4"/>
        <v>0</v>
      </c>
      <c r="L92" s="39">
        <f t="shared" si="5"/>
        <v>0</v>
      </c>
    </row>
    <row r="93" spans="1:12" s="8" customFormat="1" ht="14.85" hidden="1" customHeight="1" outlineLevel="1" x14ac:dyDescent="0.25">
      <c r="A93" s="6" t="s">
        <v>62</v>
      </c>
      <c r="B93" s="6" t="s">
        <v>10</v>
      </c>
      <c r="C93" s="23">
        <v>2091</v>
      </c>
      <c r="D93" s="4">
        <f>1*0.914*45.7*0.09</f>
        <v>3.7592820000000002</v>
      </c>
      <c r="E93" s="26">
        <f>1*0.914*45.7*0.09+0.54</f>
        <v>4.2992819999999998</v>
      </c>
      <c r="F93" s="32" t="s">
        <v>238</v>
      </c>
      <c r="G93" s="33">
        <f>0.107*0.107*0.935</f>
        <v>1.0704814999999999E-2</v>
      </c>
      <c r="H93" s="11">
        <v>1</v>
      </c>
      <c r="I93" s="11"/>
      <c r="J93" s="11"/>
      <c r="K93" s="11">
        <f t="shared" si="4"/>
        <v>0</v>
      </c>
      <c r="L93" s="39">
        <f t="shared" si="5"/>
        <v>0</v>
      </c>
    </row>
    <row r="94" spans="1:12" s="13" customFormat="1" ht="23.1" customHeight="1" collapsed="1" x14ac:dyDescent="0.2">
      <c r="A94" s="13" t="s">
        <v>230</v>
      </c>
      <c r="C94" s="21"/>
      <c r="D94" s="38"/>
      <c r="E94" s="37"/>
      <c r="F94" s="37"/>
      <c r="G94" s="38"/>
      <c r="L94" s="42"/>
    </row>
    <row r="95" spans="1:12" s="7" customFormat="1" ht="19.5" hidden="1" customHeight="1" outlineLevel="1" x14ac:dyDescent="0.2">
      <c r="A95" s="7" t="s">
        <v>92</v>
      </c>
      <c r="C95" s="22"/>
      <c r="E95" s="35"/>
      <c r="F95" s="35"/>
      <c r="L95" s="43"/>
    </row>
    <row r="96" spans="1:12" s="5" customFormat="1" ht="14.85" hidden="1" customHeight="1" outlineLevel="1" x14ac:dyDescent="0.25">
      <c r="A96" s="6" t="s">
        <v>73</v>
      </c>
      <c r="B96" s="6" t="s">
        <v>67</v>
      </c>
      <c r="C96" s="47">
        <v>4702</v>
      </c>
      <c r="D96" s="6"/>
      <c r="E96" s="26">
        <v>5</v>
      </c>
      <c r="F96" s="32" t="s">
        <v>261</v>
      </c>
      <c r="G96" s="33">
        <f>0.66*0.145*0.145</f>
        <v>1.3876499999999998E-2</v>
      </c>
      <c r="H96" s="11">
        <v>1</v>
      </c>
      <c r="I96" s="11"/>
      <c r="J96" s="11"/>
      <c r="K96" s="11">
        <f t="shared" si="4"/>
        <v>0</v>
      </c>
      <c r="L96" s="39">
        <f t="shared" si="5"/>
        <v>0</v>
      </c>
    </row>
    <row r="97" spans="1:12" s="5" customFormat="1" ht="14.85" hidden="1" customHeight="1" outlineLevel="1" x14ac:dyDescent="0.25">
      <c r="A97" s="6" t="s">
        <v>74</v>
      </c>
      <c r="B97" s="6" t="s">
        <v>68</v>
      </c>
      <c r="C97" s="47">
        <v>7058</v>
      </c>
      <c r="D97" s="6"/>
      <c r="E97" s="26">
        <v>6.8</v>
      </c>
      <c r="F97" s="32" t="s">
        <v>262</v>
      </c>
      <c r="G97" s="33">
        <f>0.96*0.145*0.145</f>
        <v>2.0183999999999997E-2</v>
      </c>
      <c r="H97" s="11">
        <v>1</v>
      </c>
      <c r="I97" s="11"/>
      <c r="J97" s="11"/>
      <c r="K97" s="11">
        <f t="shared" si="4"/>
        <v>0</v>
      </c>
      <c r="L97" s="39">
        <f t="shared" si="5"/>
        <v>0</v>
      </c>
    </row>
    <row r="98" spans="1:12" s="5" customFormat="1" ht="14.85" hidden="1" customHeight="1" outlineLevel="1" x14ac:dyDescent="0.25">
      <c r="A98" s="6" t="s">
        <v>75</v>
      </c>
      <c r="B98" s="6" t="s">
        <v>69</v>
      </c>
      <c r="C98" s="47">
        <v>8247</v>
      </c>
      <c r="D98" s="6"/>
      <c r="E98" s="26">
        <v>9</v>
      </c>
      <c r="F98" s="32" t="s">
        <v>263</v>
      </c>
      <c r="G98" s="33">
        <f>1.12*0.145*0.145</f>
        <v>2.3547999999999999E-2</v>
      </c>
      <c r="H98" s="11">
        <v>1</v>
      </c>
      <c r="I98" s="11"/>
      <c r="J98" s="11"/>
      <c r="K98" s="11">
        <f t="shared" si="4"/>
        <v>0</v>
      </c>
      <c r="L98" s="39">
        <f t="shared" si="5"/>
        <v>0</v>
      </c>
    </row>
    <row r="99" spans="1:12" s="5" customFormat="1" ht="14.85" hidden="1" customHeight="1" outlineLevel="1" x14ac:dyDescent="0.25">
      <c r="A99" s="6" t="s">
        <v>76</v>
      </c>
      <c r="B99" s="6" t="s">
        <v>70</v>
      </c>
      <c r="C99" s="47">
        <v>9800</v>
      </c>
      <c r="D99" s="6"/>
      <c r="E99" s="26">
        <v>11</v>
      </c>
      <c r="F99" s="32" t="s">
        <v>264</v>
      </c>
      <c r="G99" s="33">
        <f>1.32*0.145*0.145</f>
        <v>2.7752999999999996E-2</v>
      </c>
      <c r="H99" s="11">
        <v>1</v>
      </c>
      <c r="I99" s="11"/>
      <c r="J99" s="11"/>
      <c r="K99" s="11">
        <f t="shared" si="4"/>
        <v>0</v>
      </c>
      <c r="L99" s="39">
        <f t="shared" si="5"/>
        <v>0</v>
      </c>
    </row>
    <row r="100" spans="1:12" s="5" customFormat="1" ht="14.85" hidden="1" customHeight="1" outlineLevel="1" x14ac:dyDescent="0.25">
      <c r="A100" s="6" t="s">
        <v>77</v>
      </c>
      <c r="B100" s="6" t="s">
        <v>71</v>
      </c>
      <c r="C100" s="47">
        <v>10582</v>
      </c>
      <c r="D100" s="6"/>
      <c r="E100" s="26">
        <v>12</v>
      </c>
      <c r="F100" s="32" t="s">
        <v>265</v>
      </c>
      <c r="G100" s="33">
        <f>1.42*0.145*0.145</f>
        <v>2.9855499999999993E-2</v>
      </c>
      <c r="H100" s="11">
        <v>1</v>
      </c>
      <c r="I100" s="11"/>
      <c r="J100" s="11"/>
      <c r="K100" s="11">
        <f t="shared" si="4"/>
        <v>0</v>
      </c>
      <c r="L100" s="39">
        <f t="shared" si="5"/>
        <v>0</v>
      </c>
    </row>
    <row r="101" spans="1:12" s="5" customFormat="1" ht="14.85" hidden="1" customHeight="1" outlineLevel="1" x14ac:dyDescent="0.25">
      <c r="A101" s="6" t="s">
        <v>78</v>
      </c>
      <c r="B101" s="6" t="s">
        <v>72</v>
      </c>
      <c r="C101" s="47">
        <v>11748</v>
      </c>
      <c r="D101" s="6"/>
      <c r="E101" s="26">
        <v>12.5</v>
      </c>
      <c r="F101" s="32" t="s">
        <v>266</v>
      </c>
      <c r="G101" s="33">
        <f>1.57*0.145*0.145</f>
        <v>3.3009249999999997E-2</v>
      </c>
      <c r="H101" s="11">
        <v>1</v>
      </c>
      <c r="I101" s="11"/>
      <c r="J101" s="11"/>
      <c r="K101" s="11">
        <f t="shared" si="4"/>
        <v>0</v>
      </c>
      <c r="L101" s="39">
        <f t="shared" si="5"/>
        <v>0</v>
      </c>
    </row>
    <row r="102" spans="1:12" s="7" customFormat="1" ht="19.5" hidden="1" customHeight="1" outlineLevel="1" x14ac:dyDescent="0.2">
      <c r="A102" s="7" t="s">
        <v>133</v>
      </c>
      <c r="C102" s="48"/>
      <c r="E102" s="35"/>
      <c r="F102" s="35"/>
      <c r="L102" s="43"/>
    </row>
    <row r="103" spans="1:12" s="5" customFormat="1" ht="14.85" hidden="1" customHeight="1" outlineLevel="1" x14ac:dyDescent="0.25">
      <c r="A103" s="6" t="s">
        <v>134</v>
      </c>
      <c r="B103" s="6" t="s">
        <v>95</v>
      </c>
      <c r="C103" s="47">
        <v>4959</v>
      </c>
      <c r="D103" s="6"/>
      <c r="E103" s="26">
        <v>2.5</v>
      </c>
      <c r="F103" s="32" t="s">
        <v>267</v>
      </c>
      <c r="G103" s="33">
        <f>0.66*0.12*0.12</f>
        <v>9.5040000000000003E-3</v>
      </c>
      <c r="H103" s="11">
        <v>1</v>
      </c>
      <c r="I103" s="11"/>
      <c r="J103" s="11"/>
      <c r="K103" s="11">
        <f t="shared" si="4"/>
        <v>0</v>
      </c>
      <c r="L103" s="39">
        <f t="shared" si="5"/>
        <v>0</v>
      </c>
    </row>
    <row r="104" spans="1:12" s="5" customFormat="1" ht="14.85" hidden="1" customHeight="1" outlineLevel="1" x14ac:dyDescent="0.25">
      <c r="A104" s="6" t="s">
        <v>135</v>
      </c>
      <c r="B104" s="6" t="s">
        <v>97</v>
      </c>
      <c r="C104" s="47">
        <v>7326</v>
      </c>
      <c r="D104" s="6"/>
      <c r="E104" s="26">
        <v>3.5</v>
      </c>
      <c r="F104" s="32" t="s">
        <v>268</v>
      </c>
      <c r="G104" s="33">
        <f>0.96*0.12*0.12</f>
        <v>1.3823999999999999E-2</v>
      </c>
      <c r="H104" s="11">
        <v>1</v>
      </c>
      <c r="I104" s="11"/>
      <c r="J104" s="11"/>
      <c r="K104" s="11">
        <f t="shared" si="4"/>
        <v>0</v>
      </c>
      <c r="L104" s="39">
        <f t="shared" si="5"/>
        <v>0</v>
      </c>
    </row>
    <row r="105" spans="1:12" s="5" customFormat="1" ht="14.85" hidden="1" customHeight="1" outlineLevel="1" x14ac:dyDescent="0.25">
      <c r="A105" s="6" t="s">
        <v>136</v>
      </c>
      <c r="B105" s="6" t="s">
        <v>99</v>
      </c>
      <c r="C105" s="47">
        <v>8622</v>
      </c>
      <c r="D105" s="6"/>
      <c r="E105" s="26">
        <v>6</v>
      </c>
      <c r="F105" s="32" t="s">
        <v>269</v>
      </c>
      <c r="G105" s="33">
        <f>1.12*0.12*0.12</f>
        <v>1.6128000000000003E-2</v>
      </c>
      <c r="H105" s="11">
        <v>1</v>
      </c>
      <c r="I105" s="11"/>
      <c r="J105" s="11"/>
      <c r="K105" s="11">
        <f t="shared" si="4"/>
        <v>0</v>
      </c>
      <c r="L105" s="39">
        <f t="shared" si="5"/>
        <v>0</v>
      </c>
    </row>
    <row r="106" spans="1:12" s="7" customFormat="1" ht="19.5" hidden="1" customHeight="1" outlineLevel="1" x14ac:dyDescent="0.2">
      <c r="A106" s="7" t="s">
        <v>183</v>
      </c>
      <c r="C106" s="22"/>
      <c r="E106" s="35"/>
      <c r="F106" s="35"/>
      <c r="L106" s="43"/>
    </row>
    <row r="107" spans="1:12" s="5" customFormat="1" ht="14.85" hidden="1" customHeight="1" outlineLevel="1" x14ac:dyDescent="0.25">
      <c r="A107" s="6" t="s">
        <v>184</v>
      </c>
      <c r="B107" s="6" t="s">
        <v>185</v>
      </c>
      <c r="C107" s="23">
        <v>2693</v>
      </c>
      <c r="D107" s="6"/>
      <c r="E107" s="26">
        <v>2</v>
      </c>
      <c r="F107" s="32" t="s">
        <v>270</v>
      </c>
      <c r="G107" s="33">
        <f>0.64*0.13*0.13</f>
        <v>1.0816000000000001E-2</v>
      </c>
      <c r="H107" s="11">
        <v>1</v>
      </c>
      <c r="I107" s="11"/>
      <c r="J107" s="11"/>
      <c r="K107" s="11">
        <f t="shared" si="4"/>
        <v>0</v>
      </c>
      <c r="L107" s="39">
        <f t="shared" si="5"/>
        <v>0</v>
      </c>
    </row>
    <row r="108" spans="1:12" s="5" customFormat="1" ht="14.85" hidden="1" customHeight="1" outlineLevel="1" x14ac:dyDescent="0.25">
      <c r="A108" s="6" t="s">
        <v>186</v>
      </c>
      <c r="B108" s="6" t="s">
        <v>187</v>
      </c>
      <c r="C108" s="23">
        <v>4055</v>
      </c>
      <c r="D108" s="6"/>
      <c r="E108" s="26">
        <v>4</v>
      </c>
      <c r="F108" s="32" t="s">
        <v>271</v>
      </c>
      <c r="G108" s="33">
        <f>0.96*0.13*0.13</f>
        <v>1.6223999999999999E-2</v>
      </c>
      <c r="H108" s="11">
        <v>1</v>
      </c>
      <c r="I108" s="11"/>
      <c r="J108" s="11"/>
      <c r="K108" s="11">
        <f t="shared" si="4"/>
        <v>0</v>
      </c>
      <c r="L108" s="39">
        <f t="shared" si="5"/>
        <v>0</v>
      </c>
    </row>
    <row r="109" spans="1:12" s="5" customFormat="1" ht="14.85" hidden="1" customHeight="1" outlineLevel="1" x14ac:dyDescent="0.25">
      <c r="A109" s="6" t="s">
        <v>188</v>
      </c>
      <c r="B109" s="6" t="s">
        <v>189</v>
      </c>
      <c r="C109" s="23">
        <v>4723</v>
      </c>
      <c r="D109" s="6"/>
      <c r="E109" s="26">
        <v>5</v>
      </c>
      <c r="F109" s="32" t="s">
        <v>272</v>
      </c>
      <c r="G109" s="33">
        <f>1.12*0.13*0.13</f>
        <v>1.8928E-2</v>
      </c>
      <c r="H109" s="11">
        <v>1</v>
      </c>
      <c r="I109" s="11"/>
      <c r="J109" s="11"/>
      <c r="K109" s="11">
        <f t="shared" si="4"/>
        <v>0</v>
      </c>
      <c r="L109" s="39">
        <f t="shared" si="5"/>
        <v>0</v>
      </c>
    </row>
    <row r="110" spans="1:12" s="5" customFormat="1" ht="14.85" hidden="1" customHeight="1" outlineLevel="1" x14ac:dyDescent="0.25">
      <c r="A110" s="6" t="s">
        <v>190</v>
      </c>
      <c r="B110" s="6" t="s">
        <v>191</v>
      </c>
      <c r="C110" s="23">
        <v>6691</v>
      </c>
      <c r="D110" s="6"/>
      <c r="E110" s="26">
        <v>7.5</v>
      </c>
      <c r="F110" s="32" t="s">
        <v>273</v>
      </c>
      <c r="G110" s="33">
        <f>1.57*0.13*0.13</f>
        <v>2.6533000000000001E-2</v>
      </c>
      <c r="H110" s="11">
        <v>1</v>
      </c>
      <c r="I110" s="11"/>
      <c r="J110" s="11"/>
      <c r="K110" s="11">
        <f t="shared" si="4"/>
        <v>0</v>
      </c>
      <c r="L110" s="39">
        <f t="shared" si="5"/>
        <v>0</v>
      </c>
    </row>
    <row r="111" spans="1:12" s="7" customFormat="1" ht="19.5" hidden="1" customHeight="1" outlineLevel="1" x14ac:dyDescent="0.2">
      <c r="A111" s="7" t="s">
        <v>139</v>
      </c>
      <c r="C111" s="22"/>
      <c r="E111" s="35"/>
      <c r="F111" s="35"/>
      <c r="L111" s="43"/>
    </row>
    <row r="112" spans="1:12" s="5" customFormat="1" ht="14.85" hidden="1" customHeight="1" outlineLevel="1" x14ac:dyDescent="0.25">
      <c r="A112" s="6" t="s">
        <v>137</v>
      </c>
      <c r="B112" s="6" t="s">
        <v>138</v>
      </c>
      <c r="C112" s="23">
        <v>6181</v>
      </c>
      <c r="D112" s="6"/>
      <c r="E112" s="26">
        <v>4.5</v>
      </c>
      <c r="F112" s="32" t="s">
        <v>269</v>
      </c>
      <c r="G112" s="33">
        <f>1.12*0.12*0.12</f>
        <v>1.6128000000000003E-2</v>
      </c>
      <c r="H112" s="11">
        <v>1</v>
      </c>
      <c r="I112" s="11"/>
      <c r="J112" s="11"/>
      <c r="K112" s="11">
        <f t="shared" si="4"/>
        <v>0</v>
      </c>
      <c r="L112" s="39">
        <f t="shared" si="5"/>
        <v>0</v>
      </c>
    </row>
    <row r="113" spans="1:12" s="7" customFormat="1" ht="19.5" hidden="1" customHeight="1" outlineLevel="1" x14ac:dyDescent="0.2">
      <c r="A113" s="7" t="s">
        <v>221</v>
      </c>
      <c r="C113" s="22"/>
      <c r="E113" s="35"/>
      <c r="F113" s="35"/>
      <c r="L113" s="43"/>
    </row>
    <row r="114" spans="1:12" s="5" customFormat="1" ht="14.85" hidden="1" customHeight="1" outlineLevel="1" x14ac:dyDescent="0.25">
      <c r="A114" s="6" t="s">
        <v>53</v>
      </c>
      <c r="B114" s="6" t="s">
        <v>63</v>
      </c>
      <c r="C114" s="47">
        <v>6233</v>
      </c>
      <c r="D114" s="6"/>
      <c r="E114" s="26">
        <v>7</v>
      </c>
      <c r="F114" s="32" t="s">
        <v>269</v>
      </c>
      <c r="G114" s="33">
        <f>1.12*0.12*0.12</f>
        <v>1.6128000000000003E-2</v>
      </c>
      <c r="H114" s="11">
        <v>1</v>
      </c>
      <c r="I114" s="11"/>
      <c r="J114" s="11"/>
      <c r="K114" s="11">
        <f t="shared" si="4"/>
        <v>0</v>
      </c>
      <c r="L114" s="39">
        <f t="shared" si="5"/>
        <v>0</v>
      </c>
    </row>
    <row r="115" spans="1:12" s="5" customFormat="1" ht="14.85" hidden="1" customHeight="1" outlineLevel="1" x14ac:dyDescent="0.25">
      <c r="A115" s="6" t="s">
        <v>54</v>
      </c>
      <c r="B115" s="6" t="s">
        <v>64</v>
      </c>
      <c r="C115" s="47">
        <v>7400</v>
      </c>
      <c r="D115" s="6"/>
      <c r="E115" s="26">
        <v>8</v>
      </c>
      <c r="F115" s="32" t="s">
        <v>274</v>
      </c>
      <c r="G115" s="33">
        <f>1.32*0.12*0.12</f>
        <v>1.9008000000000001E-2</v>
      </c>
      <c r="H115" s="11">
        <v>1</v>
      </c>
      <c r="I115" s="11"/>
      <c r="J115" s="11"/>
      <c r="K115" s="11">
        <f t="shared" si="4"/>
        <v>0</v>
      </c>
      <c r="L115" s="39">
        <f t="shared" si="5"/>
        <v>0</v>
      </c>
    </row>
    <row r="116" spans="1:12" s="5" customFormat="1" ht="14.85" hidden="1" customHeight="1" outlineLevel="1" x14ac:dyDescent="0.25">
      <c r="A116" s="6" t="s">
        <v>55</v>
      </c>
      <c r="B116" s="6" t="s">
        <v>65</v>
      </c>
      <c r="C116" s="47">
        <v>8868</v>
      </c>
      <c r="D116" s="6"/>
      <c r="E116" s="26">
        <v>10</v>
      </c>
      <c r="F116" s="32" t="s">
        <v>275</v>
      </c>
      <c r="G116" s="33">
        <f>1.57*0.12*0.12</f>
        <v>2.2608E-2</v>
      </c>
      <c r="H116" s="11">
        <v>1</v>
      </c>
      <c r="I116" s="11"/>
      <c r="J116" s="11"/>
      <c r="K116" s="11">
        <f t="shared" si="4"/>
        <v>0</v>
      </c>
      <c r="L116" s="39">
        <f t="shared" si="5"/>
        <v>0</v>
      </c>
    </row>
    <row r="117" spans="1:12" s="7" customFormat="1" ht="19.5" hidden="1" customHeight="1" outlineLevel="1" x14ac:dyDescent="0.2">
      <c r="A117" s="7" t="s">
        <v>140</v>
      </c>
      <c r="C117" s="22"/>
      <c r="E117" s="35"/>
      <c r="F117" s="35"/>
      <c r="L117" s="43"/>
    </row>
    <row r="118" spans="1:12" s="5" customFormat="1" ht="14.85" hidden="1" customHeight="1" outlineLevel="1" x14ac:dyDescent="0.25">
      <c r="A118" s="6" t="s">
        <v>141</v>
      </c>
      <c r="B118" s="6" t="s">
        <v>142</v>
      </c>
      <c r="C118" s="47">
        <v>6712</v>
      </c>
      <c r="D118" s="6"/>
      <c r="E118" s="26">
        <v>4</v>
      </c>
      <c r="F118" s="32" t="s">
        <v>271</v>
      </c>
      <c r="G118" s="33">
        <f>0.96*0.13*0.13</f>
        <v>1.6223999999999999E-2</v>
      </c>
      <c r="H118" s="11">
        <v>1</v>
      </c>
      <c r="I118" s="11"/>
      <c r="J118" s="11"/>
      <c r="K118" s="11">
        <f t="shared" si="4"/>
        <v>0</v>
      </c>
      <c r="L118" s="39">
        <f t="shared" si="5"/>
        <v>0</v>
      </c>
    </row>
    <row r="119" spans="1:12" s="7" customFormat="1" ht="19.5" hidden="1" customHeight="1" outlineLevel="1" x14ac:dyDescent="0.2">
      <c r="A119" s="7" t="s">
        <v>143</v>
      </c>
      <c r="C119" s="48"/>
      <c r="E119" s="35"/>
      <c r="F119" s="35"/>
      <c r="L119" s="43"/>
    </row>
    <row r="120" spans="1:12" s="5" customFormat="1" ht="14.85" hidden="1" customHeight="1" outlineLevel="1" x14ac:dyDescent="0.25">
      <c r="A120" s="6" t="s">
        <v>144</v>
      </c>
      <c r="B120" s="6" t="s">
        <v>97</v>
      </c>
      <c r="C120" s="47">
        <v>8407</v>
      </c>
      <c r="D120" s="6"/>
      <c r="E120" s="26">
        <v>4.5</v>
      </c>
      <c r="F120" s="32" t="s">
        <v>271</v>
      </c>
      <c r="G120" s="33">
        <f>0.96*0.13*0.13</f>
        <v>1.6223999999999999E-2</v>
      </c>
      <c r="H120" s="11">
        <v>1</v>
      </c>
      <c r="I120" s="11"/>
      <c r="J120" s="11"/>
      <c r="K120" s="11">
        <f t="shared" si="4"/>
        <v>0</v>
      </c>
      <c r="L120" s="39">
        <f t="shared" si="5"/>
        <v>0</v>
      </c>
    </row>
    <row r="121" spans="1:12" s="7" customFormat="1" ht="19.5" hidden="1" customHeight="1" outlineLevel="1" x14ac:dyDescent="0.2">
      <c r="A121" s="7" t="s">
        <v>145</v>
      </c>
      <c r="C121" s="48"/>
      <c r="E121" s="35"/>
      <c r="F121" s="35"/>
      <c r="L121" s="43"/>
    </row>
    <row r="122" spans="1:12" s="5" customFormat="1" ht="14.85" hidden="1" customHeight="1" outlineLevel="1" x14ac:dyDescent="0.25">
      <c r="A122" s="6" t="s">
        <v>168</v>
      </c>
      <c r="B122" s="6" t="s">
        <v>167</v>
      </c>
      <c r="C122" s="47">
        <v>7048</v>
      </c>
      <c r="D122" s="6"/>
      <c r="E122" s="26">
        <v>7</v>
      </c>
      <c r="F122" s="32" t="s">
        <v>276</v>
      </c>
      <c r="G122" s="33">
        <f>0.96*0.15*0.15</f>
        <v>2.1599999999999998E-2</v>
      </c>
      <c r="H122" s="11">
        <v>1</v>
      </c>
      <c r="I122" s="11"/>
      <c r="J122" s="11"/>
      <c r="K122" s="11">
        <f t="shared" si="4"/>
        <v>0</v>
      </c>
      <c r="L122" s="39">
        <f t="shared" si="5"/>
        <v>0</v>
      </c>
    </row>
    <row r="123" spans="1:12" s="7" customFormat="1" ht="19.5" hidden="1" customHeight="1" outlineLevel="1" x14ac:dyDescent="0.2">
      <c r="A123" s="7" t="s">
        <v>166</v>
      </c>
      <c r="C123" s="48"/>
      <c r="E123" s="35"/>
      <c r="F123" s="35"/>
      <c r="L123" s="43"/>
    </row>
    <row r="124" spans="1:12" s="5" customFormat="1" ht="14.85" hidden="1" customHeight="1" outlineLevel="1" x14ac:dyDescent="0.25">
      <c r="A124" s="6" t="s">
        <v>165</v>
      </c>
      <c r="B124" s="6" t="s">
        <v>164</v>
      </c>
      <c r="C124" s="47">
        <v>9575</v>
      </c>
      <c r="D124" s="6"/>
      <c r="E124" s="26">
        <v>8</v>
      </c>
      <c r="F124" s="32" t="s">
        <v>277</v>
      </c>
      <c r="G124" s="33">
        <f>1.06*0.145*0.145</f>
        <v>2.2286499999999997E-2</v>
      </c>
      <c r="H124" s="11">
        <v>1</v>
      </c>
      <c r="I124" s="11"/>
      <c r="J124" s="11"/>
      <c r="K124" s="11">
        <f t="shared" si="4"/>
        <v>0</v>
      </c>
      <c r="L124" s="39">
        <f t="shared" si="5"/>
        <v>0</v>
      </c>
    </row>
    <row r="125" spans="1:12" s="13" customFormat="1" ht="23.1" customHeight="1" collapsed="1" x14ac:dyDescent="0.2">
      <c r="A125" s="13" t="s">
        <v>231</v>
      </c>
      <c r="C125" s="49"/>
      <c r="D125" s="38"/>
      <c r="E125" s="37"/>
      <c r="F125" s="37"/>
      <c r="G125" s="38"/>
      <c r="L125" s="42"/>
    </row>
    <row r="126" spans="1:12" s="7" customFormat="1" ht="19.5" hidden="1" customHeight="1" outlineLevel="1" x14ac:dyDescent="0.2">
      <c r="A126" s="7" t="s">
        <v>93</v>
      </c>
      <c r="C126" s="22"/>
      <c r="E126" s="35"/>
      <c r="F126" s="35"/>
      <c r="L126" s="43"/>
    </row>
    <row r="127" spans="1:12" s="5" customFormat="1" ht="14.85" hidden="1" customHeight="1" outlineLevel="1" x14ac:dyDescent="0.25">
      <c r="A127" s="6" t="s">
        <v>41</v>
      </c>
      <c r="B127" s="6" t="s">
        <v>35</v>
      </c>
      <c r="C127" s="47">
        <v>4434</v>
      </c>
      <c r="D127" s="4"/>
      <c r="E127" s="26">
        <v>4</v>
      </c>
      <c r="F127" s="32" t="s">
        <v>270</v>
      </c>
      <c r="G127" s="33">
        <f>0.64*0.13*0.13</f>
        <v>1.0816000000000001E-2</v>
      </c>
      <c r="H127" s="11">
        <v>1</v>
      </c>
      <c r="I127" s="11"/>
      <c r="J127" s="11"/>
      <c r="K127" s="11">
        <f>E127*J127</f>
        <v>0</v>
      </c>
      <c r="L127" s="39">
        <f>J127*G127</f>
        <v>0</v>
      </c>
    </row>
    <row r="128" spans="1:12" s="5" customFormat="1" ht="14.85" hidden="1" customHeight="1" outlineLevel="1" x14ac:dyDescent="0.25">
      <c r="A128" s="6" t="s">
        <v>42</v>
      </c>
      <c r="B128" s="6" t="s">
        <v>36</v>
      </c>
      <c r="C128" s="47">
        <v>6640</v>
      </c>
      <c r="D128" s="4"/>
      <c r="E128" s="26">
        <v>6.5</v>
      </c>
      <c r="F128" s="32" t="s">
        <v>271</v>
      </c>
      <c r="G128" s="33">
        <f>0.96*0.13*0.13</f>
        <v>1.6223999999999999E-2</v>
      </c>
      <c r="H128" s="11">
        <v>1</v>
      </c>
      <c r="I128" s="11"/>
      <c r="J128" s="11"/>
      <c r="K128" s="11">
        <f t="shared" ref="K128:K132" si="7">E128*J128</f>
        <v>0</v>
      </c>
      <c r="L128" s="39">
        <f t="shared" ref="L128:L132" si="8">J128*G128</f>
        <v>0</v>
      </c>
    </row>
    <row r="129" spans="1:12" s="5" customFormat="1" ht="14.85" hidden="1" customHeight="1" outlineLevel="1" x14ac:dyDescent="0.25">
      <c r="A129" s="6" t="s">
        <v>43</v>
      </c>
      <c r="B129" s="6" t="s">
        <v>37</v>
      </c>
      <c r="C129" s="47">
        <v>7754</v>
      </c>
      <c r="D129" s="4"/>
      <c r="E129" s="26">
        <v>7</v>
      </c>
      <c r="F129" s="32" t="s">
        <v>272</v>
      </c>
      <c r="G129" s="33">
        <f>1.12*0.13*0.13</f>
        <v>1.8928E-2</v>
      </c>
      <c r="H129" s="11">
        <v>1</v>
      </c>
      <c r="I129" s="11"/>
      <c r="J129" s="11"/>
      <c r="K129" s="11">
        <f t="shared" si="7"/>
        <v>0</v>
      </c>
      <c r="L129" s="39">
        <f t="shared" si="8"/>
        <v>0</v>
      </c>
    </row>
    <row r="130" spans="1:12" s="5" customFormat="1" ht="14.85" hidden="1" customHeight="1" outlineLevel="1" x14ac:dyDescent="0.25">
      <c r="A130" s="6" t="s">
        <v>44</v>
      </c>
      <c r="B130" s="6" t="s">
        <v>38</v>
      </c>
      <c r="C130" s="47">
        <v>9221</v>
      </c>
      <c r="D130" s="4"/>
      <c r="E130" s="26">
        <v>9</v>
      </c>
      <c r="F130" s="32" t="s">
        <v>278</v>
      </c>
      <c r="G130" s="33">
        <f>1.32*0.13*0.13</f>
        <v>2.2308000000000001E-2</v>
      </c>
      <c r="H130" s="11">
        <v>1</v>
      </c>
      <c r="I130" s="11"/>
      <c r="J130" s="11"/>
      <c r="K130" s="11">
        <f t="shared" si="7"/>
        <v>0</v>
      </c>
      <c r="L130" s="39">
        <f t="shared" si="8"/>
        <v>0</v>
      </c>
    </row>
    <row r="131" spans="1:12" s="5" customFormat="1" ht="14.85" hidden="1" customHeight="1" outlineLevel="1" x14ac:dyDescent="0.25">
      <c r="A131" s="6" t="s">
        <v>45</v>
      </c>
      <c r="B131" s="6" t="s">
        <v>39</v>
      </c>
      <c r="C131" s="47">
        <v>9928</v>
      </c>
      <c r="D131" s="4"/>
      <c r="E131" s="26">
        <v>11</v>
      </c>
      <c r="F131" s="32" t="s">
        <v>279</v>
      </c>
      <c r="G131" s="33">
        <f>1.42*0.13*0.13</f>
        <v>2.3997999999999998E-2</v>
      </c>
      <c r="H131" s="11">
        <v>1</v>
      </c>
      <c r="I131" s="11"/>
      <c r="J131" s="11"/>
      <c r="K131" s="11">
        <f t="shared" si="7"/>
        <v>0</v>
      </c>
      <c r="L131" s="39">
        <f t="shared" si="8"/>
        <v>0</v>
      </c>
    </row>
    <row r="132" spans="1:12" s="5" customFormat="1" ht="14.85" hidden="1" customHeight="1" outlineLevel="1" x14ac:dyDescent="0.25">
      <c r="A132" s="6" t="s">
        <v>46</v>
      </c>
      <c r="B132" s="6" t="s">
        <v>40</v>
      </c>
      <c r="C132" s="47">
        <v>11031</v>
      </c>
      <c r="D132" s="4"/>
      <c r="E132" s="26">
        <v>12</v>
      </c>
      <c r="F132" s="32" t="s">
        <v>273</v>
      </c>
      <c r="G132" s="33">
        <f>1.57*0.13*0.13</f>
        <v>2.6533000000000001E-2</v>
      </c>
      <c r="H132" s="11">
        <v>1</v>
      </c>
      <c r="I132" s="11"/>
      <c r="J132" s="11"/>
      <c r="K132" s="11">
        <f t="shared" si="7"/>
        <v>0</v>
      </c>
      <c r="L132" s="39">
        <f t="shared" si="8"/>
        <v>0</v>
      </c>
    </row>
    <row r="133" spans="1:12" s="7" customFormat="1" ht="19.5" hidden="1" customHeight="1" outlineLevel="1" x14ac:dyDescent="0.2">
      <c r="A133" s="7" t="s">
        <v>132</v>
      </c>
      <c r="C133" s="50"/>
      <c r="E133" s="35"/>
      <c r="F133" s="35"/>
      <c r="L133" s="43"/>
    </row>
    <row r="134" spans="1:12" s="5" customFormat="1" ht="14.85" hidden="1" customHeight="1" outlineLevel="1" x14ac:dyDescent="0.25">
      <c r="A134" s="6" t="s">
        <v>115</v>
      </c>
      <c r="B134" s="6" t="s">
        <v>112</v>
      </c>
      <c r="C134" s="47">
        <v>6941</v>
      </c>
      <c r="D134" s="4"/>
      <c r="E134" s="26">
        <v>4.5</v>
      </c>
      <c r="F134" s="32" t="s">
        <v>270</v>
      </c>
      <c r="G134" s="33">
        <f>0.64*0.13*0.13</f>
        <v>1.0816000000000001E-2</v>
      </c>
      <c r="H134" s="11">
        <v>1</v>
      </c>
      <c r="I134" s="11"/>
      <c r="J134" s="11"/>
      <c r="K134" s="11">
        <f t="shared" si="4"/>
        <v>0</v>
      </c>
      <c r="L134" s="39">
        <f t="shared" si="5"/>
        <v>0</v>
      </c>
    </row>
    <row r="135" spans="1:12" s="5" customFormat="1" ht="14.85" hidden="1" customHeight="1" outlineLevel="1" x14ac:dyDescent="0.25">
      <c r="A135" s="6" t="s">
        <v>116</v>
      </c>
      <c r="B135" s="6" t="s">
        <v>129</v>
      </c>
      <c r="C135" s="47">
        <v>10410</v>
      </c>
      <c r="D135" s="4"/>
      <c r="E135" s="26">
        <v>7.5</v>
      </c>
      <c r="F135" s="32" t="s">
        <v>271</v>
      </c>
      <c r="G135" s="33">
        <f>0.96*0.13*0.13</f>
        <v>1.6223999999999999E-2</v>
      </c>
      <c r="H135" s="11">
        <v>1</v>
      </c>
      <c r="I135" s="11"/>
      <c r="J135" s="11"/>
      <c r="K135" s="11">
        <f t="shared" si="4"/>
        <v>0</v>
      </c>
      <c r="L135" s="39">
        <f t="shared" si="5"/>
        <v>0</v>
      </c>
    </row>
    <row r="136" spans="1:12" s="5" customFormat="1" ht="14.85" hidden="1" customHeight="1" outlineLevel="1" x14ac:dyDescent="0.25">
      <c r="A136" s="6" t="s">
        <v>117</v>
      </c>
      <c r="B136" s="6" t="s">
        <v>130</v>
      </c>
      <c r="C136" s="47">
        <v>12145</v>
      </c>
      <c r="D136" s="4"/>
      <c r="E136" s="26">
        <v>8.5</v>
      </c>
      <c r="F136" s="32" t="s">
        <v>272</v>
      </c>
      <c r="G136" s="33">
        <f>1.12*0.13*0.13</f>
        <v>1.8928E-2</v>
      </c>
      <c r="H136" s="11">
        <v>1</v>
      </c>
      <c r="I136" s="11"/>
      <c r="J136" s="11"/>
      <c r="K136" s="11">
        <f t="shared" si="4"/>
        <v>0</v>
      </c>
      <c r="L136" s="39">
        <f t="shared" si="5"/>
        <v>0</v>
      </c>
    </row>
    <row r="137" spans="1:12" s="5" customFormat="1" ht="14.85" hidden="1" customHeight="1" outlineLevel="1" x14ac:dyDescent="0.25">
      <c r="A137" s="6" t="s">
        <v>118</v>
      </c>
      <c r="B137" s="6" t="s">
        <v>113</v>
      </c>
      <c r="C137" s="47">
        <v>18732</v>
      </c>
      <c r="D137" s="4"/>
      <c r="E137" s="26">
        <v>13</v>
      </c>
      <c r="F137" s="32" t="s">
        <v>273</v>
      </c>
      <c r="G137" s="33">
        <f>1.57*0.13*0.13</f>
        <v>2.6533000000000001E-2</v>
      </c>
      <c r="H137" s="11">
        <v>1</v>
      </c>
      <c r="I137" s="11"/>
      <c r="J137" s="11"/>
      <c r="K137" s="11">
        <f t="shared" si="4"/>
        <v>0</v>
      </c>
      <c r="L137" s="39">
        <f t="shared" si="5"/>
        <v>0</v>
      </c>
    </row>
    <row r="138" spans="1:12" s="7" customFormat="1" ht="19.5" hidden="1" customHeight="1" outlineLevel="1" x14ac:dyDescent="0.2">
      <c r="A138" s="7" t="s">
        <v>47</v>
      </c>
      <c r="C138" s="50"/>
      <c r="E138" s="35"/>
      <c r="F138" s="35"/>
      <c r="L138" s="43"/>
    </row>
    <row r="139" spans="1:12" s="5" customFormat="1" ht="14.85" hidden="1" customHeight="1" outlineLevel="1" x14ac:dyDescent="0.25">
      <c r="A139" s="6" t="s">
        <v>48</v>
      </c>
      <c r="B139" s="6" t="s">
        <v>56</v>
      </c>
      <c r="C139" s="47">
        <v>3930</v>
      </c>
      <c r="D139" s="6"/>
      <c r="E139" s="26">
        <v>5</v>
      </c>
      <c r="F139" s="32" t="s">
        <v>280</v>
      </c>
      <c r="G139" s="33">
        <f>0.66*0.15*0.15</f>
        <v>1.485E-2</v>
      </c>
      <c r="H139" s="11">
        <v>1</v>
      </c>
      <c r="I139" s="11"/>
      <c r="J139" s="11"/>
      <c r="K139" s="11">
        <f t="shared" si="4"/>
        <v>0</v>
      </c>
      <c r="L139" s="39">
        <f t="shared" si="5"/>
        <v>0</v>
      </c>
    </row>
    <row r="140" spans="1:12" s="5" customFormat="1" ht="14.85" hidden="1" customHeight="1" outlineLevel="1" x14ac:dyDescent="0.25">
      <c r="A140" s="6" t="s">
        <v>49</v>
      </c>
      <c r="B140" s="6" t="s">
        <v>57</v>
      </c>
      <c r="C140" s="47">
        <v>5880</v>
      </c>
      <c r="D140" s="6"/>
      <c r="E140" s="26">
        <v>9</v>
      </c>
      <c r="F140" s="32" t="s">
        <v>276</v>
      </c>
      <c r="G140" s="33">
        <f>0.96*0.15*0.15</f>
        <v>2.1599999999999998E-2</v>
      </c>
      <c r="H140" s="11">
        <v>1</v>
      </c>
      <c r="I140" s="11"/>
      <c r="J140" s="11"/>
      <c r="K140" s="11">
        <f t="shared" si="4"/>
        <v>0</v>
      </c>
      <c r="L140" s="39">
        <f t="shared" si="5"/>
        <v>0</v>
      </c>
    </row>
    <row r="141" spans="1:12" s="5" customFormat="1" ht="14.85" hidden="1" customHeight="1" outlineLevel="1" x14ac:dyDescent="0.25">
      <c r="A141" s="6" t="s">
        <v>50</v>
      </c>
      <c r="B141" s="6" t="s">
        <v>58</v>
      </c>
      <c r="C141" s="47">
        <v>6887</v>
      </c>
      <c r="D141" s="6"/>
      <c r="E141" s="26">
        <v>9.5</v>
      </c>
      <c r="F141" s="32" t="s">
        <v>281</v>
      </c>
      <c r="G141" s="33">
        <f>1.12*0.15*0.15</f>
        <v>2.52E-2</v>
      </c>
      <c r="H141" s="11">
        <v>1</v>
      </c>
      <c r="I141" s="11"/>
      <c r="J141" s="11"/>
      <c r="K141" s="11">
        <f t="shared" si="4"/>
        <v>0</v>
      </c>
      <c r="L141" s="39">
        <f t="shared" si="5"/>
        <v>0</v>
      </c>
    </row>
    <row r="142" spans="1:12" s="5" customFormat="1" ht="14.85" hidden="1" customHeight="1" outlineLevel="1" x14ac:dyDescent="0.25">
      <c r="A142" s="6" t="s">
        <v>51</v>
      </c>
      <c r="B142" s="6" t="s">
        <v>59</v>
      </c>
      <c r="C142" s="47">
        <v>8161</v>
      </c>
      <c r="D142" s="6"/>
      <c r="E142" s="26">
        <v>12.5</v>
      </c>
      <c r="F142" s="32" t="s">
        <v>282</v>
      </c>
      <c r="G142" s="33">
        <f>1.32*0.15*0.15</f>
        <v>2.9700000000000001E-2</v>
      </c>
      <c r="H142" s="11">
        <v>1</v>
      </c>
      <c r="I142" s="11"/>
      <c r="J142" s="11"/>
      <c r="K142" s="11">
        <f t="shared" si="4"/>
        <v>0</v>
      </c>
      <c r="L142" s="39">
        <f t="shared" si="5"/>
        <v>0</v>
      </c>
    </row>
    <row r="143" spans="1:12" s="5" customFormat="1" ht="14.85" hidden="1" customHeight="1" outlineLevel="1" x14ac:dyDescent="0.25">
      <c r="A143" s="6" t="s">
        <v>52</v>
      </c>
      <c r="B143" s="6" t="s">
        <v>60</v>
      </c>
      <c r="C143" s="47">
        <v>9789</v>
      </c>
      <c r="D143" s="6"/>
      <c r="E143" s="26">
        <v>16</v>
      </c>
      <c r="F143" s="32" t="s">
        <v>283</v>
      </c>
      <c r="G143" s="33">
        <f>1.57*0.15*0.15</f>
        <v>3.5324999999999995E-2</v>
      </c>
      <c r="H143" s="11">
        <v>1</v>
      </c>
      <c r="I143" s="11"/>
      <c r="J143" s="11"/>
      <c r="K143" s="11">
        <f t="shared" si="4"/>
        <v>0</v>
      </c>
      <c r="L143" s="39">
        <f t="shared" si="5"/>
        <v>0</v>
      </c>
    </row>
    <row r="144" spans="1:12" s="7" customFormat="1" ht="19.5" hidden="1" customHeight="1" outlineLevel="1" x14ac:dyDescent="0.2">
      <c r="A144" s="7" t="s">
        <v>114</v>
      </c>
      <c r="C144" s="50"/>
      <c r="E144" s="35"/>
      <c r="F144" s="35"/>
      <c r="L144" s="43"/>
    </row>
    <row r="145" spans="1:12" s="5" customFormat="1" ht="14.85" hidden="1" customHeight="1" outlineLevel="1" x14ac:dyDescent="0.25">
      <c r="A145" s="6" t="s">
        <v>119</v>
      </c>
      <c r="B145" s="6" t="s">
        <v>124</v>
      </c>
      <c r="C145" s="47">
        <v>4894</v>
      </c>
      <c r="D145" s="4"/>
      <c r="E145" s="26">
        <v>4.5</v>
      </c>
      <c r="F145" s="32" t="s">
        <v>284</v>
      </c>
      <c r="G145" s="33">
        <f>0.66*0.135*0.135</f>
        <v>1.2028500000000003E-2</v>
      </c>
      <c r="H145" s="11">
        <v>1</v>
      </c>
      <c r="I145" s="11"/>
      <c r="J145" s="11"/>
      <c r="K145" s="11">
        <f t="shared" si="4"/>
        <v>0</v>
      </c>
      <c r="L145" s="39">
        <f t="shared" si="5"/>
        <v>0</v>
      </c>
    </row>
    <row r="146" spans="1:12" s="5" customFormat="1" ht="14.85" hidden="1" customHeight="1" outlineLevel="1" x14ac:dyDescent="0.25">
      <c r="A146" s="6" t="s">
        <v>120</v>
      </c>
      <c r="B146" s="6" t="s">
        <v>125</v>
      </c>
      <c r="C146" s="47">
        <v>7347</v>
      </c>
      <c r="D146" s="6"/>
      <c r="E146" s="26">
        <v>7</v>
      </c>
      <c r="F146" s="32" t="s">
        <v>262</v>
      </c>
      <c r="G146" s="33">
        <f>0.96*0.145*0.145</f>
        <v>2.0183999999999997E-2</v>
      </c>
      <c r="H146" s="11">
        <v>1</v>
      </c>
      <c r="I146" s="11"/>
      <c r="J146" s="11"/>
      <c r="K146" s="11">
        <f t="shared" si="4"/>
        <v>0</v>
      </c>
      <c r="L146" s="39">
        <f t="shared" si="5"/>
        <v>0</v>
      </c>
    </row>
    <row r="147" spans="1:12" s="5" customFormat="1" ht="14.85" hidden="1" customHeight="1" outlineLevel="1" x14ac:dyDescent="0.25">
      <c r="A147" s="6" t="s">
        <v>121</v>
      </c>
      <c r="B147" s="6" t="s">
        <v>126</v>
      </c>
      <c r="C147" s="47">
        <v>8568</v>
      </c>
      <c r="D147" s="6"/>
      <c r="E147" s="26">
        <v>8</v>
      </c>
      <c r="F147" s="32" t="s">
        <v>263</v>
      </c>
      <c r="G147" s="33">
        <f>1.12*0.145*0.145</f>
        <v>2.3547999999999999E-2</v>
      </c>
      <c r="H147" s="11">
        <v>1</v>
      </c>
      <c r="I147" s="11"/>
      <c r="J147" s="11"/>
      <c r="K147" s="11">
        <f t="shared" si="4"/>
        <v>0</v>
      </c>
      <c r="L147" s="39">
        <f t="shared" si="5"/>
        <v>0</v>
      </c>
    </row>
    <row r="148" spans="1:12" s="5" customFormat="1" ht="14.85" hidden="1" customHeight="1" outlineLevel="1" x14ac:dyDescent="0.25">
      <c r="A148" s="6" t="s">
        <v>122</v>
      </c>
      <c r="B148" s="6" t="s">
        <v>127</v>
      </c>
      <c r="C148" s="47">
        <v>10164</v>
      </c>
      <c r="D148" s="6"/>
      <c r="E148" s="26">
        <v>10</v>
      </c>
      <c r="F148" s="32" t="s">
        <v>264</v>
      </c>
      <c r="G148" s="33">
        <f>1.32*0.145*0.145</f>
        <v>2.7752999999999996E-2</v>
      </c>
      <c r="H148" s="11">
        <v>1</v>
      </c>
      <c r="I148" s="11"/>
      <c r="J148" s="11"/>
      <c r="K148" s="11">
        <f t="shared" si="4"/>
        <v>0</v>
      </c>
      <c r="L148" s="39">
        <f t="shared" si="5"/>
        <v>0</v>
      </c>
    </row>
    <row r="149" spans="1:12" s="5" customFormat="1" ht="14.85" hidden="1" customHeight="1" outlineLevel="1" x14ac:dyDescent="0.25">
      <c r="A149" s="6" t="s">
        <v>123</v>
      </c>
      <c r="B149" s="6" t="s">
        <v>128</v>
      </c>
      <c r="C149" s="47">
        <v>12477</v>
      </c>
      <c r="D149" s="6"/>
      <c r="E149" s="26">
        <v>12.5</v>
      </c>
      <c r="F149" s="32" t="s">
        <v>266</v>
      </c>
      <c r="G149" s="33">
        <f>1.57*0.145*0.145</f>
        <v>3.3009249999999997E-2</v>
      </c>
      <c r="H149" s="11">
        <v>1</v>
      </c>
      <c r="I149" s="11"/>
      <c r="J149" s="11"/>
      <c r="K149" s="11">
        <f t="shared" ref="K149:K178" si="9">J149*D149</f>
        <v>0</v>
      </c>
      <c r="L149" s="39">
        <f t="shared" ref="L149:L178" si="10">J149*G149</f>
        <v>0</v>
      </c>
    </row>
    <row r="150" spans="1:12" s="7" customFormat="1" ht="19.5" hidden="1" customHeight="1" outlineLevel="1" x14ac:dyDescent="0.2">
      <c r="A150" s="7" t="s">
        <v>146</v>
      </c>
      <c r="C150" s="50"/>
      <c r="E150" s="35"/>
      <c r="F150" s="35"/>
      <c r="L150" s="43"/>
    </row>
    <row r="151" spans="1:12" s="5" customFormat="1" ht="14.85" hidden="1" customHeight="1" outlineLevel="1" x14ac:dyDescent="0.25">
      <c r="A151" s="6" t="s">
        <v>292</v>
      </c>
      <c r="B151" s="6" t="s">
        <v>147</v>
      </c>
      <c r="C151" s="23">
        <v>12485</v>
      </c>
      <c r="D151" s="6"/>
      <c r="E151" s="26">
        <v>9</v>
      </c>
      <c r="F151" s="32" t="s">
        <v>285</v>
      </c>
      <c r="G151" s="33">
        <f>1.41*0.13*0.13</f>
        <v>2.3828999999999999E-2</v>
      </c>
      <c r="H151" s="11">
        <v>1</v>
      </c>
      <c r="I151" s="11"/>
      <c r="J151" s="11"/>
      <c r="K151" s="11">
        <f t="shared" si="9"/>
        <v>0</v>
      </c>
      <c r="L151" s="39">
        <f t="shared" si="10"/>
        <v>0</v>
      </c>
    </row>
    <row r="152" spans="1:12" s="7" customFormat="1" ht="19.5" hidden="1" customHeight="1" outlineLevel="1" x14ac:dyDescent="0.2">
      <c r="A152" s="7" t="s">
        <v>148</v>
      </c>
      <c r="C152" s="22"/>
      <c r="E152" s="35"/>
      <c r="F152" s="35"/>
      <c r="L152" s="43"/>
    </row>
    <row r="153" spans="1:12" s="5" customFormat="1" ht="14.85" hidden="1" customHeight="1" outlineLevel="1" x14ac:dyDescent="0.25">
      <c r="A153" s="6" t="s">
        <v>293</v>
      </c>
      <c r="B153" s="6" t="s">
        <v>147</v>
      </c>
      <c r="C153" s="23">
        <v>12485</v>
      </c>
      <c r="D153" s="6"/>
      <c r="E153" s="26">
        <v>7</v>
      </c>
      <c r="F153" s="32" t="s">
        <v>285</v>
      </c>
      <c r="G153" s="33">
        <f>1.41*0.13*0.13</f>
        <v>2.3828999999999999E-2</v>
      </c>
      <c r="H153" s="11">
        <v>1</v>
      </c>
      <c r="I153" s="11"/>
      <c r="J153" s="11"/>
      <c r="K153" s="11">
        <f t="shared" si="9"/>
        <v>0</v>
      </c>
      <c r="L153" s="39">
        <f t="shared" si="10"/>
        <v>0</v>
      </c>
    </row>
    <row r="154" spans="1:12" s="13" customFormat="1" ht="23.1" customHeight="1" collapsed="1" x14ac:dyDescent="0.2">
      <c r="A154" s="13" t="s">
        <v>232</v>
      </c>
      <c r="C154" s="21"/>
      <c r="D154" s="38"/>
      <c r="E154" s="37"/>
      <c r="F154" s="37"/>
      <c r="G154" s="38"/>
      <c r="L154" s="42"/>
    </row>
    <row r="155" spans="1:12" s="7" customFormat="1" ht="19.5" hidden="1" customHeight="1" outlineLevel="1" x14ac:dyDescent="0.2">
      <c r="A155" s="7" t="s">
        <v>131</v>
      </c>
      <c r="C155" s="22"/>
      <c r="E155" s="35"/>
      <c r="F155" s="35"/>
      <c r="L155" s="43"/>
    </row>
    <row r="156" spans="1:12" s="5" customFormat="1" ht="14.85" hidden="1" customHeight="1" outlineLevel="1" x14ac:dyDescent="0.25">
      <c r="A156" s="6" t="s">
        <v>94</v>
      </c>
      <c r="B156" s="6" t="s">
        <v>95</v>
      </c>
      <c r="C156" s="23">
        <v>2417</v>
      </c>
      <c r="D156" s="6"/>
      <c r="E156" s="26">
        <v>3.5</v>
      </c>
      <c r="F156" s="32" t="s">
        <v>267</v>
      </c>
      <c r="G156" s="33">
        <f>0.66*0.12*0.12</f>
        <v>9.5040000000000003E-3</v>
      </c>
      <c r="H156" s="11">
        <v>1</v>
      </c>
      <c r="I156" s="11"/>
      <c r="J156" s="11"/>
      <c r="K156" s="11">
        <f t="shared" ref="K156:K158" si="11">J156*E156</f>
        <v>0</v>
      </c>
      <c r="L156" s="39">
        <f t="shared" si="10"/>
        <v>0</v>
      </c>
    </row>
    <row r="157" spans="1:12" s="5" customFormat="1" ht="14.85" hidden="1" customHeight="1" outlineLevel="1" x14ac:dyDescent="0.25">
      <c r="A157" s="6" t="s">
        <v>96</v>
      </c>
      <c r="B157" s="6" t="s">
        <v>97</v>
      </c>
      <c r="C157" s="23">
        <v>3621</v>
      </c>
      <c r="D157" s="6"/>
      <c r="E157" s="26">
        <v>5.5</v>
      </c>
      <c r="F157" s="32" t="s">
        <v>268</v>
      </c>
      <c r="G157" s="33">
        <f>0.96*0.12*0.12</f>
        <v>1.3823999999999999E-2</v>
      </c>
      <c r="H157" s="11">
        <v>1</v>
      </c>
      <c r="I157" s="11"/>
      <c r="J157" s="11"/>
      <c r="K157" s="11">
        <f t="shared" si="11"/>
        <v>0</v>
      </c>
      <c r="L157" s="39">
        <f t="shared" si="10"/>
        <v>0</v>
      </c>
    </row>
    <row r="158" spans="1:12" s="5" customFormat="1" ht="14.85" hidden="1" customHeight="1" outlineLevel="1" x14ac:dyDescent="0.25">
      <c r="A158" s="6" t="s">
        <v>98</v>
      </c>
      <c r="B158" s="6" t="s">
        <v>99</v>
      </c>
      <c r="C158" s="23">
        <v>4233</v>
      </c>
      <c r="D158" s="6"/>
      <c r="E158" s="26">
        <v>6.5</v>
      </c>
      <c r="F158" s="32" t="s">
        <v>269</v>
      </c>
      <c r="G158" s="33">
        <f>1.12*0.12*0.12</f>
        <v>1.6128000000000003E-2</v>
      </c>
      <c r="H158" s="11">
        <v>1</v>
      </c>
      <c r="I158" s="11"/>
      <c r="J158" s="11"/>
      <c r="K158" s="11">
        <f t="shared" si="11"/>
        <v>0</v>
      </c>
      <c r="L158" s="39">
        <f t="shared" si="10"/>
        <v>0</v>
      </c>
    </row>
    <row r="159" spans="1:12" s="5" customFormat="1" ht="14.85" hidden="1" customHeight="1" outlineLevel="1" x14ac:dyDescent="0.25">
      <c r="A159" s="6" t="s">
        <v>100</v>
      </c>
      <c r="B159" s="6" t="s">
        <v>101</v>
      </c>
      <c r="C159" s="23">
        <v>6232</v>
      </c>
      <c r="D159" s="6"/>
      <c r="E159" s="26">
        <v>10.5</v>
      </c>
      <c r="F159" s="32" t="s">
        <v>275</v>
      </c>
      <c r="G159" s="33">
        <f>1.57*0.12*0.12</f>
        <v>2.2608E-2</v>
      </c>
      <c r="H159" s="11">
        <v>1</v>
      </c>
      <c r="I159" s="11"/>
      <c r="J159" s="11"/>
      <c r="K159" s="11">
        <f>J159*E159</f>
        <v>0</v>
      </c>
      <c r="L159" s="39">
        <f t="shared" si="10"/>
        <v>0</v>
      </c>
    </row>
    <row r="160" spans="1:12" s="7" customFormat="1" ht="19.5" hidden="1" customHeight="1" outlineLevel="1" x14ac:dyDescent="0.2">
      <c r="A160" s="7" t="s">
        <v>110</v>
      </c>
      <c r="C160" s="22"/>
      <c r="E160" s="35"/>
      <c r="F160" s="35"/>
      <c r="L160" s="43"/>
    </row>
    <row r="161" spans="1:12" s="5" customFormat="1" ht="14.85" hidden="1" customHeight="1" outlineLevel="1" x14ac:dyDescent="0.25">
      <c r="A161" s="6" t="s">
        <v>102</v>
      </c>
      <c r="B161" s="6" t="s">
        <v>95</v>
      </c>
      <c r="C161" s="23">
        <v>2897</v>
      </c>
      <c r="D161" s="6"/>
      <c r="E161" s="26">
        <v>3</v>
      </c>
      <c r="F161" s="32" t="s">
        <v>267</v>
      </c>
      <c r="G161" s="33">
        <f>0.66*0.12*0.12</f>
        <v>9.5040000000000003E-3</v>
      </c>
      <c r="H161" s="11">
        <v>1</v>
      </c>
      <c r="I161" s="11"/>
      <c r="J161" s="11"/>
      <c r="K161" s="11">
        <f>J161*E161</f>
        <v>0</v>
      </c>
      <c r="L161" s="39">
        <f t="shared" si="10"/>
        <v>0</v>
      </c>
    </row>
    <row r="162" spans="1:12" s="5" customFormat="1" ht="14.85" hidden="1" customHeight="1" outlineLevel="1" x14ac:dyDescent="0.25">
      <c r="A162" s="6" t="s">
        <v>103</v>
      </c>
      <c r="B162" s="6" t="s">
        <v>97</v>
      </c>
      <c r="C162" s="23">
        <v>4355</v>
      </c>
      <c r="D162" s="6"/>
      <c r="E162" s="26">
        <v>5</v>
      </c>
      <c r="F162" s="32" t="s">
        <v>268</v>
      </c>
      <c r="G162" s="33">
        <f>0.96*0.12*0.12</f>
        <v>1.3823999999999999E-2</v>
      </c>
      <c r="H162" s="11">
        <v>1</v>
      </c>
      <c r="I162" s="11"/>
      <c r="J162" s="11"/>
      <c r="K162" s="11">
        <f t="shared" ref="K162:K164" si="12">J162*E162</f>
        <v>0</v>
      </c>
      <c r="L162" s="39">
        <f t="shared" si="10"/>
        <v>0</v>
      </c>
    </row>
    <row r="163" spans="1:12" s="5" customFormat="1" ht="14.85" hidden="1" customHeight="1" outlineLevel="1" x14ac:dyDescent="0.25">
      <c r="A163" s="6" t="s">
        <v>104</v>
      </c>
      <c r="B163" s="6" t="s">
        <v>99</v>
      </c>
      <c r="C163" s="23">
        <v>5090</v>
      </c>
      <c r="D163" s="6"/>
      <c r="E163" s="26">
        <v>6</v>
      </c>
      <c r="F163" s="32" t="s">
        <v>269</v>
      </c>
      <c r="G163" s="33">
        <f>1.12*0.12*0.12</f>
        <v>1.6128000000000003E-2</v>
      </c>
      <c r="H163" s="11">
        <v>1</v>
      </c>
      <c r="I163" s="11"/>
      <c r="J163" s="11"/>
      <c r="K163" s="11">
        <f t="shared" si="12"/>
        <v>0</v>
      </c>
      <c r="L163" s="39">
        <f t="shared" si="10"/>
        <v>0</v>
      </c>
    </row>
    <row r="164" spans="1:12" s="5" customFormat="1" ht="14.85" hidden="1" customHeight="1" outlineLevel="1" x14ac:dyDescent="0.25">
      <c r="A164" s="6" t="s">
        <v>105</v>
      </c>
      <c r="B164" s="6" t="s">
        <v>101</v>
      </c>
      <c r="C164" s="23">
        <v>7487</v>
      </c>
      <c r="D164" s="6"/>
      <c r="E164" s="26">
        <v>9.5</v>
      </c>
      <c r="F164" s="32" t="s">
        <v>275</v>
      </c>
      <c r="G164" s="33">
        <f>1.57*0.12*0.12</f>
        <v>2.2608E-2</v>
      </c>
      <c r="H164" s="11">
        <v>1</v>
      </c>
      <c r="I164" s="11"/>
      <c r="J164" s="11"/>
      <c r="K164" s="11">
        <f t="shared" si="12"/>
        <v>0</v>
      </c>
      <c r="L164" s="39">
        <f t="shared" si="10"/>
        <v>0</v>
      </c>
    </row>
    <row r="165" spans="1:12" s="7" customFormat="1" ht="19.5" hidden="1" customHeight="1" outlineLevel="1" x14ac:dyDescent="0.2">
      <c r="A165" s="7" t="s">
        <v>111</v>
      </c>
      <c r="C165" s="22"/>
      <c r="E165" s="35"/>
      <c r="F165" s="35"/>
      <c r="L165" s="43"/>
    </row>
    <row r="166" spans="1:12" s="5" customFormat="1" ht="14.85" hidden="1" customHeight="1" outlineLevel="1" x14ac:dyDescent="0.25">
      <c r="A166" s="6" t="s">
        <v>106</v>
      </c>
      <c r="B166" s="6" t="s">
        <v>95</v>
      </c>
      <c r="C166" s="23">
        <v>2897</v>
      </c>
      <c r="D166" s="6"/>
      <c r="E166" s="26">
        <v>3.5</v>
      </c>
      <c r="F166" s="32" t="s">
        <v>267</v>
      </c>
      <c r="G166" s="33">
        <f>0.66*0.12*0.12</f>
        <v>9.5040000000000003E-3</v>
      </c>
      <c r="H166" s="11">
        <v>1</v>
      </c>
      <c r="I166" s="11"/>
      <c r="J166" s="11"/>
      <c r="K166" s="11">
        <f>J166*E166</f>
        <v>0</v>
      </c>
      <c r="L166" s="39">
        <f t="shared" si="10"/>
        <v>0</v>
      </c>
    </row>
    <row r="167" spans="1:12" s="5" customFormat="1" ht="14.85" hidden="1" customHeight="1" outlineLevel="1" x14ac:dyDescent="0.25">
      <c r="A167" s="6" t="s">
        <v>107</v>
      </c>
      <c r="B167" s="6" t="s">
        <v>97</v>
      </c>
      <c r="C167" s="23">
        <v>4355</v>
      </c>
      <c r="D167" s="6"/>
      <c r="E167" s="26">
        <v>5.5</v>
      </c>
      <c r="F167" s="32" t="s">
        <v>268</v>
      </c>
      <c r="G167" s="33">
        <f>0.96*0.12*0.12</f>
        <v>1.3823999999999999E-2</v>
      </c>
      <c r="H167" s="11">
        <v>1</v>
      </c>
      <c r="I167" s="11"/>
      <c r="J167" s="11"/>
      <c r="K167" s="11">
        <f t="shared" ref="K167:K169" si="13">J167*E167</f>
        <v>0</v>
      </c>
      <c r="L167" s="39">
        <f t="shared" si="10"/>
        <v>0</v>
      </c>
    </row>
    <row r="168" spans="1:12" s="5" customFormat="1" ht="14.85" hidden="1" customHeight="1" outlineLevel="1" x14ac:dyDescent="0.25">
      <c r="A168" s="6" t="s">
        <v>108</v>
      </c>
      <c r="B168" s="6" t="s">
        <v>99</v>
      </c>
      <c r="C168" s="23">
        <v>5090</v>
      </c>
      <c r="D168" s="6"/>
      <c r="E168" s="26">
        <v>6.5</v>
      </c>
      <c r="F168" s="32" t="s">
        <v>269</v>
      </c>
      <c r="G168" s="33">
        <f>1.12*0.12*0.12</f>
        <v>1.6128000000000003E-2</v>
      </c>
      <c r="H168" s="11">
        <v>1</v>
      </c>
      <c r="I168" s="11"/>
      <c r="J168" s="11"/>
      <c r="K168" s="11">
        <f t="shared" si="13"/>
        <v>0</v>
      </c>
      <c r="L168" s="39">
        <f t="shared" si="10"/>
        <v>0</v>
      </c>
    </row>
    <row r="169" spans="1:12" s="5" customFormat="1" ht="14.85" hidden="1" customHeight="1" outlineLevel="1" x14ac:dyDescent="0.25">
      <c r="A169" s="6" t="s">
        <v>109</v>
      </c>
      <c r="B169" s="6" t="s">
        <v>101</v>
      </c>
      <c r="C169" s="23">
        <v>7487</v>
      </c>
      <c r="D169" s="6"/>
      <c r="E169" s="26">
        <v>10.5</v>
      </c>
      <c r="F169" s="32" t="s">
        <v>275</v>
      </c>
      <c r="G169" s="33">
        <f>1.57*0.12*0.12</f>
        <v>2.2608E-2</v>
      </c>
      <c r="H169" s="11">
        <v>1</v>
      </c>
      <c r="I169" s="11"/>
      <c r="J169" s="11"/>
      <c r="K169" s="11">
        <f t="shared" si="13"/>
        <v>0</v>
      </c>
      <c r="L169" s="39">
        <f t="shared" si="10"/>
        <v>0</v>
      </c>
    </row>
    <row r="170" spans="1:12" s="7" customFormat="1" ht="19.5" hidden="1" customHeight="1" outlineLevel="1" x14ac:dyDescent="0.2">
      <c r="A170" s="7" t="s">
        <v>174</v>
      </c>
      <c r="C170" s="22"/>
      <c r="E170" s="35"/>
      <c r="F170" s="35"/>
      <c r="L170" s="43"/>
    </row>
    <row r="171" spans="1:12" s="5" customFormat="1" ht="14.85" hidden="1" customHeight="1" outlineLevel="1" x14ac:dyDescent="0.25">
      <c r="A171" s="6" t="s">
        <v>173</v>
      </c>
      <c r="B171" s="6" t="s">
        <v>167</v>
      </c>
      <c r="C171" s="23">
        <v>7987</v>
      </c>
      <c r="D171" s="6"/>
      <c r="E171" s="26">
        <v>9</v>
      </c>
      <c r="F171" s="32" t="s">
        <v>286</v>
      </c>
      <c r="G171" s="33">
        <f>1*0.16*0.16</f>
        <v>2.5600000000000001E-2</v>
      </c>
      <c r="H171" s="11">
        <v>1</v>
      </c>
      <c r="I171" s="11"/>
      <c r="J171" s="11"/>
      <c r="K171" s="11">
        <f t="shared" si="9"/>
        <v>0</v>
      </c>
      <c r="L171" s="39">
        <f t="shared" si="10"/>
        <v>0</v>
      </c>
    </row>
    <row r="172" spans="1:12" s="7" customFormat="1" ht="19.5" hidden="1" customHeight="1" outlineLevel="1" x14ac:dyDescent="0.2">
      <c r="A172" s="7" t="s">
        <v>172</v>
      </c>
      <c r="C172" s="22"/>
      <c r="E172" s="35"/>
      <c r="F172" s="35"/>
      <c r="L172" s="43"/>
    </row>
    <row r="173" spans="1:12" s="5" customFormat="1" ht="14.85" hidden="1" customHeight="1" outlineLevel="1" x14ac:dyDescent="0.25">
      <c r="A173" s="6" t="s">
        <v>171</v>
      </c>
      <c r="B173" s="6" t="s">
        <v>167</v>
      </c>
      <c r="C173" s="23">
        <v>9119</v>
      </c>
      <c r="D173" s="6"/>
      <c r="E173" s="26">
        <v>9</v>
      </c>
      <c r="F173" s="32" t="s">
        <v>286</v>
      </c>
      <c r="G173" s="33">
        <f>1*0.16*0.16</f>
        <v>2.5600000000000001E-2</v>
      </c>
      <c r="H173" s="11">
        <v>1</v>
      </c>
      <c r="I173" s="11"/>
      <c r="J173" s="11"/>
      <c r="K173" s="11">
        <f t="shared" si="9"/>
        <v>0</v>
      </c>
      <c r="L173" s="39">
        <f t="shared" si="10"/>
        <v>0</v>
      </c>
    </row>
    <row r="174" spans="1:12" s="7" customFormat="1" ht="19.5" hidden="1" customHeight="1" outlineLevel="1" x14ac:dyDescent="0.2">
      <c r="A174" s="7" t="s">
        <v>170</v>
      </c>
      <c r="C174" s="22"/>
      <c r="E174" s="35"/>
      <c r="F174" s="35"/>
      <c r="L174" s="43"/>
    </row>
    <row r="175" spans="1:12" s="5" customFormat="1" ht="14.85" hidden="1" customHeight="1" outlineLevel="1" x14ac:dyDescent="0.25">
      <c r="A175" s="6" t="s">
        <v>169</v>
      </c>
      <c r="B175" s="6" t="s">
        <v>167</v>
      </c>
      <c r="C175" s="23">
        <v>9119</v>
      </c>
      <c r="D175" s="6"/>
      <c r="E175" s="26">
        <v>9</v>
      </c>
      <c r="F175" s="32" t="s">
        <v>286</v>
      </c>
      <c r="G175" s="33">
        <f>1*0.16*0.16</f>
        <v>2.5600000000000001E-2</v>
      </c>
      <c r="H175" s="11">
        <v>1</v>
      </c>
      <c r="I175" s="11"/>
      <c r="J175" s="11"/>
      <c r="K175" s="11">
        <f t="shared" si="9"/>
        <v>0</v>
      </c>
      <c r="L175" s="39">
        <f t="shared" si="10"/>
        <v>0</v>
      </c>
    </row>
    <row r="176" spans="1:12" s="13" customFormat="1" ht="23.1" customHeight="1" collapsed="1" x14ac:dyDescent="0.2">
      <c r="A176" s="13" t="s">
        <v>234</v>
      </c>
      <c r="C176" s="21"/>
      <c r="D176" s="38"/>
      <c r="E176" s="37"/>
      <c r="F176" s="37"/>
      <c r="G176" s="38"/>
      <c r="L176" s="42"/>
    </row>
    <row r="177" spans="1:12" s="7" customFormat="1" ht="19.5" hidden="1" customHeight="1" outlineLevel="1" x14ac:dyDescent="0.2">
      <c r="A177" s="7" t="s">
        <v>175</v>
      </c>
      <c r="C177" s="22"/>
      <c r="E177" s="35"/>
      <c r="F177" s="35"/>
      <c r="L177" s="43"/>
    </row>
    <row r="178" spans="1:12" s="5" customFormat="1" ht="14.85" hidden="1" customHeight="1" outlineLevel="1" x14ac:dyDescent="0.25">
      <c r="A178" s="6" t="s">
        <v>176</v>
      </c>
      <c r="B178" s="6" t="s">
        <v>177</v>
      </c>
      <c r="C178" s="23">
        <v>4814</v>
      </c>
      <c r="D178" s="6"/>
      <c r="E178" s="26">
        <v>7</v>
      </c>
      <c r="F178" s="32" t="s">
        <v>287</v>
      </c>
      <c r="G178" s="33">
        <f>1.11*0.15*0.15</f>
        <v>2.4975000000000001E-2</v>
      </c>
      <c r="H178" s="11">
        <v>1</v>
      </c>
      <c r="I178" s="11"/>
      <c r="J178" s="11"/>
      <c r="K178" s="11">
        <f t="shared" si="9"/>
        <v>0</v>
      </c>
      <c r="L178" s="39">
        <f t="shared" si="10"/>
        <v>0</v>
      </c>
    </row>
    <row r="179" spans="1:12" s="16" customFormat="1" ht="15" collapsed="1" x14ac:dyDescent="0.25">
      <c r="A179" s="19" t="s">
        <v>291</v>
      </c>
      <c r="B179" s="14"/>
      <c r="C179" s="24"/>
      <c r="D179" s="29"/>
      <c r="E179" s="26"/>
      <c r="F179" s="30"/>
      <c r="G179" s="29"/>
      <c r="H179" s="15"/>
      <c r="I179" s="15"/>
      <c r="J179" s="44">
        <f>SUM(J5:J178)</f>
        <v>0</v>
      </c>
      <c r="K179" s="44">
        <f>SUM(K5:K178)</f>
        <v>0</v>
      </c>
      <c r="L179" s="44">
        <f>SUM(L5:L178)</f>
        <v>0</v>
      </c>
    </row>
  </sheetData>
  <autoFilter ref="A2:L179" xr:uid="{00000000-0009-0000-0000-000000000000}"/>
  <mergeCells count="1">
    <mergeCell ref="B1:L1"/>
  </mergeCells>
  <phoneticPr fontId="1" type="noConversion"/>
  <printOptions gridLines="1"/>
  <pageMargins left="0.27559055118110237" right="0.15748031496062992" top="0.15748031496062992" bottom="0.15748031496062992" header="0.51181102362204722" footer="0.51181102362204722"/>
  <pageSetup paperSize="9" scale="1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Носители 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Мехов Сергей</dc:creator>
  <cp:lastModifiedBy>Александр Сачков</cp:lastModifiedBy>
  <cp:lastPrinted>2019-01-14T13:52:28Z</cp:lastPrinted>
  <dcterms:created xsi:type="dcterms:W3CDTF">2012-11-27T08:40:02Z</dcterms:created>
  <dcterms:modified xsi:type="dcterms:W3CDTF">2021-11-17T09:57:42Z</dcterms:modified>
</cp:coreProperties>
</file>